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IBFTTransferReport_DAILY_201401" sheetId="1" r:id="rId1"/>
    <sheet name="Summary" sheetId="4" r:id="rId2"/>
  </sheets>
  <definedNames>
    <definedName name="_xlnm._FilterDatabase" localSheetId="0" hidden="1">IBFTTransferReport_DAILY_201401!$A$9:$X$340</definedName>
  </definedNames>
  <calcPr calcId="0"/>
</workbook>
</file>

<file path=xl/calcChain.xml><?xml version="1.0" encoding="utf-8"?>
<calcChain xmlns="http://schemas.openxmlformats.org/spreadsheetml/2006/main">
  <c r="D10" i="4"/>
  <c r="D9"/>
  <c r="B10" i="1" l="1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V10"/>
  <c r="W10"/>
  <c r="X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V11"/>
  <c r="W11"/>
  <c r="X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V12"/>
  <c r="W12"/>
  <c r="X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V13"/>
  <c r="W13"/>
  <c r="X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V14"/>
  <c r="W14"/>
  <c r="X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V15"/>
  <c r="W15"/>
  <c r="X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V16"/>
  <c r="W16"/>
  <c r="X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V17"/>
  <c r="W17"/>
  <c r="X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V18"/>
  <c r="W18"/>
  <c r="X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V19"/>
  <c r="W19"/>
  <c r="X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V20"/>
  <c r="W20"/>
  <c r="X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V21"/>
  <c r="W21"/>
  <c r="X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V22"/>
  <c r="W22"/>
  <c r="X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V23"/>
  <c r="W23"/>
  <c r="X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V24"/>
  <c r="W24"/>
  <c r="X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V25"/>
  <c r="W25"/>
  <c r="X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V26"/>
  <c r="W26"/>
  <c r="X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V27"/>
  <c r="W27"/>
  <c r="X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V28"/>
  <c r="W28"/>
  <c r="X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V29"/>
  <c r="W29"/>
  <c r="X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V30"/>
  <c r="W30"/>
  <c r="X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V31"/>
  <c r="W31"/>
  <c r="X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V32"/>
  <c r="W32"/>
  <c r="X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V33"/>
  <c r="W33"/>
  <c r="X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V34"/>
  <c r="W34"/>
  <c r="X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V35"/>
  <c r="W35"/>
  <c r="X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V36"/>
  <c r="W36"/>
  <c r="X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V37"/>
  <c r="W37"/>
  <c r="X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V38"/>
  <c r="W38"/>
  <c r="X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V39"/>
  <c r="W39"/>
  <c r="X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V40"/>
  <c r="W40"/>
  <c r="X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V41"/>
  <c r="W41"/>
  <c r="X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V42"/>
  <c r="W42"/>
  <c r="X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V43"/>
  <c r="W43"/>
  <c r="X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V44"/>
  <c r="W44"/>
  <c r="X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V45"/>
  <c r="W45"/>
  <c r="X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V46"/>
  <c r="W46"/>
  <c r="X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V47"/>
  <c r="W47"/>
  <c r="X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V48"/>
  <c r="W48"/>
  <c r="X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V49"/>
  <c r="W49"/>
  <c r="X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V50"/>
  <c r="W50"/>
  <c r="X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V51"/>
  <c r="W51"/>
  <c r="X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V52"/>
  <c r="W52"/>
  <c r="X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V53"/>
  <c r="W53"/>
  <c r="X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V54"/>
  <c r="W54"/>
  <c r="X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V55"/>
  <c r="W55"/>
  <c r="X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V56"/>
  <c r="W56"/>
  <c r="X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V57"/>
  <c r="W57"/>
  <c r="X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V58"/>
  <c r="W58"/>
  <c r="X58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V59"/>
  <c r="W59"/>
  <c r="X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V60"/>
  <c r="W60"/>
  <c r="X60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V61"/>
  <c r="W61"/>
  <c r="X61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V62"/>
  <c r="W62"/>
  <c r="X62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V63"/>
  <c r="W63"/>
  <c r="X63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V64"/>
  <c r="W64"/>
  <c r="X64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V65"/>
  <c r="W65"/>
  <c r="X65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V66"/>
  <c r="W66"/>
  <c r="X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V67"/>
  <c r="W67"/>
  <c r="X67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V68"/>
  <c r="W68"/>
  <c r="X68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V69"/>
  <c r="W69"/>
  <c r="X69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V70"/>
  <c r="W70"/>
  <c r="X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V71"/>
  <c r="W71"/>
  <c r="X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V72"/>
  <c r="W72"/>
  <c r="X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V73"/>
  <c r="W73"/>
  <c r="X73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V74"/>
  <c r="W74"/>
  <c r="X74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V75"/>
  <c r="W75"/>
  <c r="X75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V76"/>
  <c r="W76"/>
  <c r="X76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V77"/>
  <c r="W77"/>
  <c r="X77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V78"/>
  <c r="W78"/>
  <c r="X78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V79"/>
  <c r="W79"/>
  <c r="X79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V80"/>
  <c r="W80"/>
  <c r="X80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V81"/>
  <c r="W81"/>
  <c r="X81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V82"/>
  <c r="W82"/>
  <c r="X82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V83"/>
  <c r="W83"/>
  <c r="X83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V84"/>
  <c r="W84"/>
  <c r="X84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V85"/>
  <c r="W85"/>
  <c r="X85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V86"/>
  <c r="W86"/>
  <c r="X86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V87"/>
  <c r="W87"/>
  <c r="X87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V88"/>
  <c r="W88"/>
  <c r="X88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V89"/>
  <c r="W89"/>
  <c r="X89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V90"/>
  <c r="W90"/>
  <c r="X90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V91"/>
  <c r="W91"/>
  <c r="X91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V92"/>
  <c r="W92"/>
  <c r="X92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V93"/>
  <c r="W93"/>
  <c r="X93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V94"/>
  <c r="W94"/>
  <c r="X94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V95"/>
  <c r="W95"/>
  <c r="X95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V96"/>
  <c r="W96"/>
  <c r="X96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V97"/>
  <c r="W97"/>
  <c r="X97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V98"/>
  <c r="W98"/>
  <c r="X98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V99"/>
  <c r="W99"/>
  <c r="X99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V100"/>
  <c r="W100"/>
  <c r="X100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V101"/>
  <c r="W101"/>
  <c r="X101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V102"/>
  <c r="W102"/>
  <c r="X102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V103"/>
  <c r="W103"/>
  <c r="X103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V104"/>
  <c r="W104"/>
  <c r="X104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V105"/>
  <c r="W105"/>
  <c r="X105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V106"/>
  <c r="W106"/>
  <c r="X106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V107"/>
  <c r="W107"/>
  <c r="X107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V108"/>
  <c r="W108"/>
  <c r="X108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V109"/>
  <c r="W109"/>
  <c r="X109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V110"/>
  <c r="W110"/>
  <c r="X110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V111"/>
  <c r="W111"/>
  <c r="X111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V112"/>
  <c r="W112"/>
  <c r="X112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V113"/>
  <c r="W113"/>
  <c r="X113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V114"/>
  <c r="W114"/>
  <c r="X114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V115"/>
  <c r="W115"/>
  <c r="X115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V116"/>
  <c r="W116"/>
  <c r="X116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V117"/>
  <c r="W117"/>
  <c r="X117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V118"/>
  <c r="W118"/>
  <c r="X118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V119"/>
  <c r="W119"/>
  <c r="X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V120"/>
  <c r="W120"/>
  <c r="X120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V121"/>
  <c r="W121"/>
  <c r="X121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V122"/>
  <c r="W122"/>
  <c r="X122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V123"/>
  <c r="W123"/>
  <c r="X123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V124"/>
  <c r="W124"/>
  <c r="X124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V125"/>
  <c r="W125"/>
  <c r="X125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V126"/>
  <c r="W126"/>
  <c r="X126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V127"/>
  <c r="W127"/>
  <c r="X127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V128"/>
  <c r="W128"/>
  <c r="X128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V129"/>
  <c r="W129"/>
  <c r="X129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V130"/>
  <c r="W130"/>
  <c r="X130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V131"/>
  <c r="W131"/>
  <c r="X131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V132"/>
  <c r="W132"/>
  <c r="X132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V133"/>
  <c r="W133"/>
  <c r="X133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V134"/>
  <c r="W134"/>
  <c r="X134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V135"/>
  <c r="W135"/>
  <c r="X135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V136"/>
  <c r="W136"/>
  <c r="X136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V137"/>
  <c r="W137"/>
  <c r="X137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V138"/>
  <c r="W138"/>
  <c r="X138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V139"/>
  <c r="W139"/>
  <c r="X139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V140"/>
  <c r="W140"/>
  <c r="X140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V141"/>
  <c r="W141"/>
  <c r="X141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V142"/>
  <c r="W142"/>
  <c r="X142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V143"/>
  <c r="W143"/>
  <c r="X143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V144"/>
  <c r="W144"/>
  <c r="X144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V145"/>
  <c r="W145"/>
  <c r="X145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V146"/>
  <c r="W146"/>
  <c r="X146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V147"/>
  <c r="W147"/>
  <c r="X147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V148"/>
  <c r="W148"/>
  <c r="X148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V149"/>
  <c r="W149"/>
  <c r="X14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V150"/>
  <c r="W150"/>
  <c r="X150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V151"/>
  <c r="W151"/>
  <c r="X151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V152"/>
  <c r="W152"/>
  <c r="X152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V153"/>
  <c r="W153"/>
  <c r="X153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V154"/>
  <c r="W154"/>
  <c r="X154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V155"/>
  <c r="W155"/>
  <c r="X155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V156"/>
  <c r="W156"/>
  <c r="X156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V157"/>
  <c r="W157"/>
  <c r="X157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V158"/>
  <c r="W158"/>
  <c r="X158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V159"/>
  <c r="W159"/>
  <c r="X159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V160"/>
  <c r="W160"/>
  <c r="X160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V161"/>
  <c r="W161"/>
  <c r="X161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V162"/>
  <c r="W162"/>
  <c r="X162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V163"/>
  <c r="W163"/>
  <c r="X163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V164"/>
  <c r="W164"/>
  <c r="X164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V165"/>
  <c r="W165"/>
  <c r="X165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V166"/>
  <c r="W166"/>
  <c r="X166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V167"/>
  <c r="W167"/>
  <c r="X167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V168"/>
  <c r="W168"/>
  <c r="X168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V169"/>
  <c r="W169"/>
  <c r="X169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V170"/>
  <c r="W170"/>
  <c r="X170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V171"/>
  <c r="W171"/>
  <c r="X171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V172"/>
  <c r="W172"/>
  <c r="X172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V173"/>
  <c r="W173"/>
  <c r="X173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V174"/>
  <c r="W174"/>
  <c r="X174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V175"/>
  <c r="W175"/>
  <c r="X175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V176"/>
  <c r="W176"/>
  <c r="X176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V177"/>
  <c r="W177"/>
  <c r="X177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V178"/>
  <c r="W178"/>
  <c r="X178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V179"/>
  <c r="W179"/>
  <c r="X179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V180"/>
  <c r="W180"/>
  <c r="X180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V181"/>
  <c r="W181"/>
  <c r="X181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V182"/>
  <c r="W182"/>
  <c r="X182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V183"/>
  <c r="W183"/>
  <c r="X183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V184"/>
  <c r="W184"/>
  <c r="X184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V185"/>
  <c r="W185"/>
  <c r="X185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V186"/>
  <c r="W186"/>
  <c r="X186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V187"/>
  <c r="W187"/>
  <c r="X187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V188"/>
  <c r="W188"/>
  <c r="X188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V189"/>
  <c r="W189"/>
  <c r="X189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V190"/>
  <c r="W190"/>
  <c r="X190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V191"/>
  <c r="W191"/>
  <c r="X191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V192"/>
  <c r="W192"/>
  <c r="X192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V193"/>
  <c r="W193"/>
  <c r="X193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V194"/>
  <c r="W194"/>
  <c r="X194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V195"/>
  <c r="W195"/>
  <c r="X195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V196"/>
  <c r="W196"/>
  <c r="X196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V197"/>
  <c r="W197"/>
  <c r="X197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V198"/>
  <c r="W198"/>
  <c r="X198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V199"/>
  <c r="W199"/>
  <c r="X199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T200"/>
  <c r="V200"/>
  <c r="W200"/>
  <c r="X200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V201"/>
  <c r="W201"/>
  <c r="X201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V202"/>
  <c r="W202"/>
  <c r="X202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V203"/>
  <c r="W203"/>
  <c r="X203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V204"/>
  <c r="W204"/>
  <c r="X204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V205"/>
  <c r="W205"/>
  <c r="X205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V206"/>
  <c r="W206"/>
  <c r="X206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V207"/>
  <c r="W207"/>
  <c r="X207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V208"/>
  <c r="W208"/>
  <c r="X208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V209"/>
  <c r="W209"/>
  <c r="X209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V210"/>
  <c r="W210"/>
  <c r="X210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V211"/>
  <c r="W211"/>
  <c r="X211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V212"/>
  <c r="W212"/>
  <c r="X212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V213"/>
  <c r="W213"/>
  <c r="X213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V214"/>
  <c r="W214"/>
  <c r="X214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V215"/>
  <c r="W215"/>
  <c r="X215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V216"/>
  <c r="W216"/>
  <c r="X216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V217"/>
  <c r="W217"/>
  <c r="X217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V218"/>
  <c r="W218"/>
  <c r="X218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V219"/>
  <c r="W219"/>
  <c r="X219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V220"/>
  <c r="W220"/>
  <c r="X220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V221"/>
  <c r="W221"/>
  <c r="X221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V222"/>
  <c r="W222"/>
  <c r="X222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V223"/>
  <c r="W223"/>
  <c r="X223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V224"/>
  <c r="W224"/>
  <c r="X224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V225"/>
  <c r="W225"/>
  <c r="X225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V226"/>
  <c r="W226"/>
  <c r="X226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V227"/>
  <c r="W227"/>
  <c r="X227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V228"/>
  <c r="W228"/>
  <c r="X228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V229"/>
  <c r="W229"/>
  <c r="X229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V230"/>
  <c r="W230"/>
  <c r="X230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V231"/>
  <c r="W231"/>
  <c r="X231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V232"/>
  <c r="W232"/>
  <c r="X232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V233"/>
  <c r="W233"/>
  <c r="X233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V234"/>
  <c r="W234"/>
  <c r="X234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V235"/>
  <c r="W235"/>
  <c r="X235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V236"/>
  <c r="W236"/>
  <c r="X236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V237"/>
  <c r="W237"/>
  <c r="X237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V238"/>
  <c r="W238"/>
  <c r="X238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V239"/>
  <c r="W239"/>
  <c r="X239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V240"/>
  <c r="W240"/>
  <c r="X240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V241"/>
  <c r="W241"/>
  <c r="X241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V242"/>
  <c r="W242"/>
  <c r="X242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T243"/>
  <c r="V243"/>
  <c r="W243"/>
  <c r="X243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T244"/>
  <c r="V244"/>
  <c r="W244"/>
  <c r="X244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V245"/>
  <c r="W245"/>
  <c r="X245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V246"/>
  <c r="W246"/>
  <c r="X246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V247"/>
  <c r="W247"/>
  <c r="X247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V248"/>
  <c r="W248"/>
  <c r="X248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V249"/>
  <c r="W249"/>
  <c r="X249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V250"/>
  <c r="W250"/>
  <c r="X250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V251"/>
  <c r="W251"/>
  <c r="X251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V252"/>
  <c r="W252"/>
  <c r="X252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V253"/>
  <c r="W253"/>
  <c r="X253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V254"/>
  <c r="W254"/>
  <c r="X254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V255"/>
  <c r="W255"/>
  <c r="X255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V256"/>
  <c r="W256"/>
  <c r="X256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V257"/>
  <c r="W257"/>
  <c r="X257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V258"/>
  <c r="W258"/>
  <c r="X258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V259"/>
  <c r="W259"/>
  <c r="X259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V260"/>
  <c r="W260"/>
  <c r="X260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V261"/>
  <c r="W261"/>
  <c r="X261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V262"/>
  <c r="W262"/>
  <c r="X262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V263"/>
  <c r="W263"/>
  <c r="X263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V264"/>
  <c r="W264"/>
  <c r="X264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T265"/>
  <c r="V265"/>
  <c r="W265"/>
  <c r="X265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T266"/>
  <c r="V266"/>
  <c r="W266"/>
  <c r="X266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V267"/>
  <c r="W267"/>
  <c r="X267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V268"/>
  <c r="W268"/>
  <c r="X268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V269"/>
  <c r="W269"/>
  <c r="X269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V270"/>
  <c r="W270"/>
  <c r="X270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V271"/>
  <c r="W271"/>
  <c r="X271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V272"/>
  <c r="W272"/>
  <c r="X272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V273"/>
  <c r="W273"/>
  <c r="X273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V274"/>
  <c r="W274"/>
  <c r="X274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V275"/>
  <c r="W275"/>
  <c r="X275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V276"/>
  <c r="W276"/>
  <c r="X276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V277"/>
  <c r="W277"/>
  <c r="X277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V278"/>
  <c r="W278"/>
  <c r="X278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V279"/>
  <c r="W279"/>
  <c r="X279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V280"/>
  <c r="W280"/>
  <c r="X280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V281"/>
  <c r="W281"/>
  <c r="X281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V282"/>
  <c r="W282"/>
  <c r="X282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V283"/>
  <c r="W283"/>
  <c r="X283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V284"/>
  <c r="W284"/>
  <c r="X284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V285"/>
  <c r="W285"/>
  <c r="X285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V286"/>
  <c r="W286"/>
  <c r="X286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T287"/>
  <c r="V287"/>
  <c r="W287"/>
  <c r="X287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T288"/>
  <c r="V288"/>
  <c r="W288"/>
  <c r="X288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T289"/>
  <c r="V289"/>
  <c r="W289"/>
  <c r="X289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T290"/>
  <c r="V290"/>
  <c r="W290"/>
  <c r="X290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V291"/>
  <c r="W291"/>
  <c r="X291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T292"/>
  <c r="V292"/>
  <c r="W292"/>
  <c r="X292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T293"/>
  <c r="V293"/>
  <c r="W293"/>
  <c r="X293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T294"/>
  <c r="V294"/>
  <c r="W294"/>
  <c r="X294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T295"/>
  <c r="V295"/>
  <c r="W295"/>
  <c r="X295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T296"/>
  <c r="V296"/>
  <c r="W296"/>
  <c r="X296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T297"/>
  <c r="V297"/>
  <c r="W297"/>
  <c r="X297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T298"/>
  <c r="V298"/>
  <c r="W298"/>
  <c r="X298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V299"/>
  <c r="W299"/>
  <c r="X299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T300"/>
  <c r="V300"/>
  <c r="W300"/>
  <c r="X300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T301"/>
  <c r="V301"/>
  <c r="W301"/>
  <c r="X301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T302"/>
  <c r="V302"/>
  <c r="W302"/>
  <c r="X302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T303"/>
  <c r="V303"/>
  <c r="W303"/>
  <c r="X303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T304"/>
  <c r="V304"/>
  <c r="W304"/>
  <c r="X304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T305"/>
  <c r="V305"/>
  <c r="W305"/>
  <c r="X305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T306"/>
  <c r="V306"/>
  <c r="W306"/>
  <c r="X306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T307"/>
  <c r="V307"/>
  <c r="W307"/>
  <c r="X307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T308"/>
  <c r="V308"/>
  <c r="W308"/>
  <c r="X308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T309"/>
  <c r="V309"/>
  <c r="W309"/>
  <c r="X309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T310"/>
  <c r="V310"/>
  <c r="W310"/>
  <c r="X310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T311"/>
  <c r="V311"/>
  <c r="W311"/>
  <c r="X311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T312"/>
  <c r="V312"/>
  <c r="W312"/>
  <c r="X312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T313"/>
  <c r="V313"/>
  <c r="W313"/>
  <c r="X313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T314"/>
  <c r="V314"/>
  <c r="W314"/>
  <c r="X314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T315"/>
  <c r="V315"/>
  <c r="W315"/>
  <c r="X315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T316"/>
  <c r="V316"/>
  <c r="W316"/>
  <c r="X316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T317"/>
  <c r="V317"/>
  <c r="W317"/>
  <c r="X317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T318"/>
  <c r="V318"/>
  <c r="W318"/>
  <c r="X318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T319"/>
  <c r="V319"/>
  <c r="W319"/>
  <c r="X319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T320"/>
  <c r="V320"/>
  <c r="W320"/>
  <c r="X320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T321"/>
  <c r="V321"/>
  <c r="W321"/>
  <c r="X321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T322"/>
  <c r="V322"/>
  <c r="W322"/>
  <c r="X322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T323"/>
  <c r="V323"/>
  <c r="W323"/>
  <c r="X323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T324"/>
  <c r="V324"/>
  <c r="W324"/>
  <c r="X324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T325"/>
  <c r="V325"/>
  <c r="W325"/>
  <c r="X325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T326"/>
  <c r="V326"/>
  <c r="W326"/>
  <c r="X326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T327"/>
  <c r="V327"/>
  <c r="W327"/>
  <c r="X327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T328"/>
  <c r="V328"/>
  <c r="W328"/>
  <c r="X328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T329"/>
  <c r="V329"/>
  <c r="W329"/>
  <c r="X329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T330"/>
  <c r="V330"/>
  <c r="W330"/>
  <c r="X330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T331"/>
  <c r="V331"/>
  <c r="W331"/>
  <c r="X331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T332"/>
  <c r="V332"/>
  <c r="W332"/>
  <c r="X332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T333"/>
  <c r="V333"/>
  <c r="W333"/>
  <c r="X333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T334"/>
  <c r="V334"/>
  <c r="W334"/>
  <c r="X334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T335"/>
  <c r="V335"/>
  <c r="W335"/>
  <c r="X335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T336"/>
  <c r="V336"/>
  <c r="W336"/>
  <c r="X336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T337"/>
  <c r="V337"/>
  <c r="W337"/>
  <c r="X337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T338"/>
  <c r="V338"/>
  <c r="W338"/>
  <c r="X338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T339"/>
  <c r="V339"/>
  <c r="W339"/>
  <c r="X339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T340"/>
  <c r="V340"/>
  <c r="W340"/>
  <c r="X340"/>
  <c r="D348"/>
</calcChain>
</file>

<file path=xl/sharedStrings.xml><?xml version="1.0" encoding="utf-8"?>
<sst xmlns="http://schemas.openxmlformats.org/spreadsheetml/2006/main" count="708" uniqueCount="376">
  <si>
    <t>Kuwait Finance House Report</t>
  </si>
  <si>
    <t>Report Name: IBFT Transfer Report</t>
  </si>
  <si>
    <t>Transaction Type: IBFT Transfer</t>
  </si>
  <si>
    <t>Report ID: 20140128140194</t>
  </si>
  <si>
    <t>Report Cycle: DAILY</t>
  </si>
  <si>
    <t>Reporting Date: 27/01/2014</t>
  </si>
  <si>
    <t>Report Generated Date: 28/01/2014</t>
  </si>
  <si>
    <t>IB Transaction ID</t>
  </si>
  <si>
    <t>Date</t>
  </si>
  <si>
    <t>RIM #</t>
  </si>
  <si>
    <t>Username</t>
  </si>
  <si>
    <t>Customer Name</t>
  </si>
  <si>
    <t>From Account</t>
  </si>
  <si>
    <t>Beneficiary Account #</t>
  </si>
  <si>
    <t>From CY</t>
  </si>
  <si>
    <t>To CY</t>
  </si>
  <si>
    <t>From Acct. Crt. Date</t>
  </si>
  <si>
    <t>Amount</t>
  </si>
  <si>
    <t>Local Amount</t>
  </si>
  <si>
    <t>Payment Details</t>
  </si>
  <si>
    <t>Beneficiary Name</t>
  </si>
  <si>
    <t>Beneficiary Bank</t>
  </si>
  <si>
    <t>Beneficiary Bank ID</t>
  </si>
  <si>
    <t>Beneficiary Transaction Ref #</t>
  </si>
  <si>
    <t>Beneficiary Email</t>
  </si>
  <si>
    <t>Description</t>
  </si>
  <si>
    <t>Effective Date</t>
  </si>
  <si>
    <t>Status</t>
  </si>
  <si>
    <t>Reason</t>
  </si>
  <si>
    <t>Host Reference</t>
  </si>
  <si>
    <t>Remote IP</t>
  </si>
  <si>
    <t>20140127-0001188343</t>
  </si>
  <si>
    <t>Successful</t>
  </si>
  <si>
    <t>20140127-0001188344</t>
  </si>
  <si>
    <t>Unsuccessful</t>
  </si>
  <si>
    <t>20140127-0001188349</t>
  </si>
  <si>
    <t>20140127-0001188354</t>
  </si>
  <si>
    <t>20140127-0001188358</t>
  </si>
  <si>
    <t>20140127-0001188363</t>
  </si>
  <si>
    <t>20140127-0001188366</t>
  </si>
  <si>
    <t>20140127-0001188395</t>
  </si>
  <si>
    <t>20140127-0001188405</t>
  </si>
  <si>
    <t>20140127-0001188406</t>
  </si>
  <si>
    <t>20140127-0001188408</t>
  </si>
  <si>
    <t>20140127-0001188410</t>
  </si>
  <si>
    <t>20140127-0001188413</t>
  </si>
  <si>
    <t>20140127-0001188426</t>
  </si>
  <si>
    <t>20140127-0001188422</t>
  </si>
  <si>
    <t>20140127-0001188425</t>
  </si>
  <si>
    <t>20140127-0001188434</t>
  </si>
  <si>
    <t>20140127-0001188428</t>
  </si>
  <si>
    <t>20140127-0001188432</t>
  </si>
  <si>
    <t>20140127-0001188435</t>
  </si>
  <si>
    <t>20140127-0001188446</t>
  </si>
  <si>
    <t>20140127-0001188458</t>
  </si>
  <si>
    <t>20140127-0001188463</t>
  </si>
  <si>
    <t>20140127-0001188465</t>
  </si>
  <si>
    <t>20140127-0001188481</t>
  </si>
  <si>
    <t>20140127-0001188499</t>
  </si>
  <si>
    <t>20140127-0001188501</t>
  </si>
  <si>
    <t>20140127-0001188515</t>
  </si>
  <si>
    <t>20140127-0001188513</t>
  </si>
  <si>
    <t>20140127-0001188522</t>
  </si>
  <si>
    <t>20140127-0001188584</t>
  </si>
  <si>
    <t>20140127-0001188617</t>
  </si>
  <si>
    <t>20140127-0001188634</t>
  </si>
  <si>
    <t>20140127-0001188646</t>
  </si>
  <si>
    <t>20140127-0001188638</t>
  </si>
  <si>
    <t>20140127-0001188655</t>
  </si>
  <si>
    <t>20140127-0001188663</t>
  </si>
  <si>
    <t>20140127-0001188671</t>
  </si>
  <si>
    <t>20140127-0001188679</t>
  </si>
  <si>
    <t>20140127-0001188681</t>
  </si>
  <si>
    <t>20140127-0001188713</t>
  </si>
  <si>
    <t>20140127-0001188701</t>
  </si>
  <si>
    <t>20140127-0001188750</t>
  </si>
  <si>
    <t>20140127-0001188729</t>
  </si>
  <si>
    <t>20140127-0001188735</t>
  </si>
  <si>
    <t>20140127-0001188743</t>
  </si>
  <si>
    <t>20140127-0001188747</t>
  </si>
  <si>
    <t>20140127-0001188767</t>
  </si>
  <si>
    <t>20140127-0001188751</t>
  </si>
  <si>
    <t>20140127-0001188758</t>
  </si>
  <si>
    <t>20140127-0001188759</t>
  </si>
  <si>
    <t>20140127-0001188776</t>
  </si>
  <si>
    <t>20140127-0001188790</t>
  </si>
  <si>
    <t>20140127-0001188795</t>
  </si>
  <si>
    <t>20140127-0001188799</t>
  </si>
  <si>
    <t>20140127-0001188785</t>
  </si>
  <si>
    <t>20140127-0001188805</t>
  </si>
  <si>
    <t>20140127-0001188788</t>
  </si>
  <si>
    <t>20140127-0001188817</t>
  </si>
  <si>
    <t>20140127-0001188819</t>
  </si>
  <si>
    <t>20140127-0001188810</t>
  </si>
  <si>
    <t>20140127-0001188850</t>
  </si>
  <si>
    <t>20140127-0001188866</t>
  </si>
  <si>
    <t>20140127-0001188847</t>
  </si>
  <si>
    <t>20140127-0001188852</t>
  </si>
  <si>
    <t>20140127-0001188853</t>
  </si>
  <si>
    <t>20140127-0001188871</t>
  </si>
  <si>
    <t>20140127-0001188876</t>
  </si>
  <si>
    <t>20140127-0001188901</t>
  </si>
  <si>
    <t>20140127-0001188914</t>
  </si>
  <si>
    <t>20140127-0001188933</t>
  </si>
  <si>
    <t>20140127-0001188965</t>
  </si>
  <si>
    <t>20140127-0001188953</t>
  </si>
  <si>
    <t>20140127-0001188982</t>
  </si>
  <si>
    <t>20140127-0001188970</t>
  </si>
  <si>
    <t>20140127-0001188976</t>
  </si>
  <si>
    <t>20140127-0001188980</t>
  </si>
  <si>
    <t>20140127-0001188989</t>
  </si>
  <si>
    <t>20140127-0001189013</t>
  </si>
  <si>
    <t>20140127-0001189017</t>
  </si>
  <si>
    <t>20140127-0001189002</t>
  </si>
  <si>
    <t>20140127-0001189025</t>
  </si>
  <si>
    <t>20140127-0001189007</t>
  </si>
  <si>
    <t>20140127-0001189039</t>
  </si>
  <si>
    <t>20140127-0001189024</t>
  </si>
  <si>
    <t>20140127-0001189035</t>
  </si>
  <si>
    <t>20140127-0001189079</t>
  </si>
  <si>
    <t>20140127-0001189052</t>
  </si>
  <si>
    <t>20140127-0001189054</t>
  </si>
  <si>
    <t>20140127-0001189060</t>
  </si>
  <si>
    <t>20140127-0001189073</t>
  </si>
  <si>
    <t>20140127-0001189083</t>
  </si>
  <si>
    <t>20140127-0001189096</t>
  </si>
  <si>
    <t>20140127-0001189105</t>
  </si>
  <si>
    <t>20140127-0001189116</t>
  </si>
  <si>
    <t>20140127-0001189158</t>
  </si>
  <si>
    <t>20140127-0001189151</t>
  </si>
  <si>
    <t>20140127-0001189161</t>
  </si>
  <si>
    <t>20140127-0001189178</t>
  </si>
  <si>
    <t>20140127-0001189169</t>
  </si>
  <si>
    <t>20140127-0001189171</t>
  </si>
  <si>
    <t>20140127-0001189214</t>
  </si>
  <si>
    <t>20140127-0001189204</t>
  </si>
  <si>
    <t>20140127-0001189272</t>
  </si>
  <si>
    <t>20140127-0001189278</t>
  </si>
  <si>
    <t>20140127-0001189284</t>
  </si>
  <si>
    <t>20140127-0001189306</t>
  </si>
  <si>
    <t>20140127-0001189338</t>
  </si>
  <si>
    <t>20140127-0001189301</t>
  </si>
  <si>
    <t>20140127-0001189303</t>
  </si>
  <si>
    <t>20140127-0001189379</t>
  </si>
  <si>
    <t>20140127-0001189389</t>
  </si>
  <si>
    <t>20140127-0001189407</t>
  </si>
  <si>
    <t>20140127-0001189387</t>
  </si>
  <si>
    <t>20140127-0001189399</t>
  </si>
  <si>
    <t>20140127-0001189424</t>
  </si>
  <si>
    <t>20140127-0001189414</t>
  </si>
  <si>
    <t>20140127-0001189418</t>
  </si>
  <si>
    <t>20140127-0001189438</t>
  </si>
  <si>
    <t>20140127-0001189476</t>
  </si>
  <si>
    <t>20140127-0001189478</t>
  </si>
  <si>
    <t>20140127-0001189448</t>
  </si>
  <si>
    <t>20140127-0001189484</t>
  </si>
  <si>
    <t>20140127-0001189460</t>
  </si>
  <si>
    <t>20140127-0001189504</t>
  </si>
  <si>
    <t>20140127-0001189491</t>
  </si>
  <si>
    <t>20140127-0001189513</t>
  </si>
  <si>
    <t>20140127-0001189537</t>
  </si>
  <si>
    <t>20140127-0001189531</t>
  </si>
  <si>
    <t>20140127-0001189534</t>
  </si>
  <si>
    <t>20140127-0001189544</t>
  </si>
  <si>
    <t>20140127-0001189541</t>
  </si>
  <si>
    <t>20140127-0001189597</t>
  </si>
  <si>
    <t>20140127-0001189611</t>
  </si>
  <si>
    <t>20140127-0001189629</t>
  </si>
  <si>
    <t>20140127-0001189634</t>
  </si>
  <si>
    <t>20140127-0001189612</t>
  </si>
  <si>
    <t>20140127-0001189624</t>
  </si>
  <si>
    <t>20140127-0001189659</t>
  </si>
  <si>
    <t>20140127-0001189669</t>
  </si>
  <si>
    <t>20140127-0001189674</t>
  </si>
  <si>
    <t>20140127-0001189677</t>
  </si>
  <si>
    <t>20140127-0001189680</t>
  </si>
  <si>
    <t>20140127-0001189682</t>
  </si>
  <si>
    <t>20140127-0001189656</t>
  </si>
  <si>
    <t>20140127-0001189685</t>
  </si>
  <si>
    <t>20140127-0001189698</t>
  </si>
  <si>
    <t>20140127-0001189672</t>
  </si>
  <si>
    <t>20140127-0001189705</t>
  </si>
  <si>
    <t>20140127-0001189675</t>
  </si>
  <si>
    <t>20140127-0001189710</t>
  </si>
  <si>
    <t>20140127-0001189695</t>
  </si>
  <si>
    <t>20140127-0001189700</t>
  </si>
  <si>
    <t>20140127-0001189727</t>
  </si>
  <si>
    <t>20140127-0001189711</t>
  </si>
  <si>
    <t>20140127-0001189748</t>
  </si>
  <si>
    <t>20140127-0001189765</t>
  </si>
  <si>
    <t>20140127-0001189767</t>
  </si>
  <si>
    <t>20140127-0001189781</t>
  </si>
  <si>
    <t>20140127-0001189771</t>
  </si>
  <si>
    <t>20140127-0001189792</t>
  </si>
  <si>
    <t>20140127-0001189796</t>
  </si>
  <si>
    <t>20140127-0001189815</t>
  </si>
  <si>
    <t>20140127-0001189852</t>
  </si>
  <si>
    <t>20140127-0001189830</t>
  </si>
  <si>
    <t>20140127-0001189833</t>
  </si>
  <si>
    <t>20140127-0001189861</t>
  </si>
  <si>
    <t>20140127-0001189842</t>
  </si>
  <si>
    <t>20140127-0001189876</t>
  </si>
  <si>
    <t>20140127-0001189868</t>
  </si>
  <si>
    <t>20140127-0001189890</t>
  </si>
  <si>
    <t>20140127-0001189885</t>
  </si>
  <si>
    <t>20140127-0001189887</t>
  </si>
  <si>
    <t>20140127-0001189919</t>
  </si>
  <si>
    <t>20140127-0001189930</t>
  </si>
  <si>
    <t>20140127-0001189936</t>
  </si>
  <si>
    <t>20140127-0001189946</t>
  </si>
  <si>
    <t>20140127-0001189963</t>
  </si>
  <si>
    <t>20140127-0001189972</t>
  </si>
  <si>
    <t>20140127-0001189995</t>
  </si>
  <si>
    <t>20140127-0001190015</t>
  </si>
  <si>
    <t>20140127-0001190030</t>
  </si>
  <si>
    <t>20140127-0001190031</t>
  </si>
  <si>
    <t>20140127-0001190028</t>
  </si>
  <si>
    <t>20140127-0001190049</t>
  </si>
  <si>
    <t>20140127-0001190081</t>
  </si>
  <si>
    <t>20140127-0001190083</t>
  </si>
  <si>
    <t>20140127-0001190102</t>
  </si>
  <si>
    <t>20140127-0001190104</t>
  </si>
  <si>
    <t>20140127-0001190109</t>
  </si>
  <si>
    <t>20140127-0001190097</t>
  </si>
  <si>
    <t>20140127-0001190101</t>
  </si>
  <si>
    <t>20140127-0001190106</t>
  </si>
  <si>
    <t>20140127-0001190114</t>
  </si>
  <si>
    <t>20140127-0001190122</t>
  </si>
  <si>
    <t>20140127-0001190129</t>
  </si>
  <si>
    <t>20140127-0001190138</t>
  </si>
  <si>
    <t>20140127-0001190151</t>
  </si>
  <si>
    <t>20140127-0001190168</t>
  </si>
  <si>
    <t>20140127-0001190181</t>
  </si>
  <si>
    <t>20140127-0001190188</t>
  </si>
  <si>
    <t>20140127-0001190190</t>
  </si>
  <si>
    <t>20140127-0001190170</t>
  </si>
  <si>
    <t>20140127-0001190210</t>
  </si>
  <si>
    <t>20140127-0001190218</t>
  </si>
  <si>
    <t>20140127-0001190209</t>
  </si>
  <si>
    <t>20140127-0001190226</t>
  </si>
  <si>
    <t>20140127-0001190256</t>
  </si>
  <si>
    <t>20140127-0001190264</t>
  </si>
  <si>
    <t>20140127-0001190269</t>
  </si>
  <si>
    <t>20140127-0001190295</t>
  </si>
  <si>
    <t>20140127-0001190277</t>
  </si>
  <si>
    <t>20140127-0001190278</t>
  </si>
  <si>
    <t>20140127-0001190286</t>
  </si>
  <si>
    <t>20140127-0001190333</t>
  </si>
  <si>
    <t>20140127-0001190317</t>
  </si>
  <si>
    <t>20140127-0001190322</t>
  </si>
  <si>
    <t>20140127-0001190327</t>
  </si>
  <si>
    <t>20140127-0001190342</t>
  </si>
  <si>
    <t>20140127-0001190355</t>
  </si>
  <si>
    <t>20140127-0001190360</t>
  </si>
  <si>
    <t>20140127-0001190362</t>
  </si>
  <si>
    <t>20140127-0001190363</t>
  </si>
  <si>
    <t>20140127-0001190372</t>
  </si>
  <si>
    <t>20140127-0001190374</t>
  </si>
  <si>
    <t>20140127-0001190381</t>
  </si>
  <si>
    <t>20140127-0001190394</t>
  </si>
  <si>
    <t>20140127-0001190401</t>
  </si>
  <si>
    <t>20140127-0001190406</t>
  </si>
  <si>
    <t>20140127-0001190420</t>
  </si>
  <si>
    <t>20140127-0001190434</t>
  </si>
  <si>
    <t>20140127-0001190437</t>
  </si>
  <si>
    <t>20140127-0001190442</t>
  </si>
  <si>
    <t>20140127-0001190451</t>
  </si>
  <si>
    <t>20140127-0001190454</t>
  </si>
  <si>
    <t>20140127-0001190469</t>
  </si>
  <si>
    <t>20140127-0001190474</t>
  </si>
  <si>
    <t>20140127-0001190485</t>
  </si>
  <si>
    <t>20140127-0001190480</t>
  </si>
  <si>
    <t>20140127-0001190484</t>
  </si>
  <si>
    <t>20140127-0001190504</t>
  </si>
  <si>
    <t>20140127-0001190514</t>
  </si>
  <si>
    <t>20140127-0001190517</t>
  </si>
  <si>
    <t>20140127-0001190531</t>
  </si>
  <si>
    <t>20140127-0001190551</t>
  </si>
  <si>
    <t>20140127-0001190560</t>
  </si>
  <si>
    <t>20140127-0001190567</t>
  </si>
  <si>
    <t>20140127-0001190558</t>
  </si>
  <si>
    <t>20140127-0001190573</t>
  </si>
  <si>
    <t>20140127-0001190576</t>
  </si>
  <si>
    <t>20140127-0001190586</t>
  </si>
  <si>
    <t>20140127-0001190604</t>
  </si>
  <si>
    <t>20140127-0001190612</t>
  </si>
  <si>
    <t>20140127-0001190618</t>
  </si>
  <si>
    <t>20140127-0001190630</t>
  </si>
  <si>
    <t>20140127-0001190631</t>
  </si>
  <si>
    <t>20140127-0001190627</t>
  </si>
  <si>
    <t>20140127-0001190628</t>
  </si>
  <si>
    <t>20140127-0001190634</t>
  </si>
  <si>
    <t>20140127-0001190638</t>
  </si>
  <si>
    <t>20140127-0001190640</t>
  </si>
  <si>
    <t>20140127-0001190643</t>
  </si>
  <si>
    <t>20140127-0001190646</t>
  </si>
  <si>
    <t>20140127-0001190652</t>
  </si>
  <si>
    <t>20140127-0001190653</t>
  </si>
  <si>
    <t>20140127-0001190672</t>
  </si>
  <si>
    <t>20140127-0001190677</t>
  </si>
  <si>
    <t>20140127-0001190725</t>
  </si>
  <si>
    <t>20140127-0001190730</t>
  </si>
  <si>
    <t>20140127-0001190736</t>
  </si>
  <si>
    <t>20140127-0001190780</t>
  </si>
  <si>
    <t>20140127-0001190800</t>
  </si>
  <si>
    <t>20140127-0001190832</t>
  </si>
  <si>
    <t>20140127-0001190834</t>
  </si>
  <si>
    <t>20140127-0001190846</t>
  </si>
  <si>
    <t>20140127-0001190848</t>
  </si>
  <si>
    <t>20140127-0001190856</t>
  </si>
  <si>
    <t>20140127-0001190838</t>
  </si>
  <si>
    <t>20140127-0001190859</t>
  </si>
  <si>
    <t>20140127-0001190862</t>
  </si>
  <si>
    <t>20140127-0001190885</t>
  </si>
  <si>
    <t>20140127-0001190871</t>
  </si>
  <si>
    <t>20140127-0001190887</t>
  </si>
  <si>
    <t>20140127-0001190914</t>
  </si>
  <si>
    <t>20140127-0001190924</t>
  </si>
  <si>
    <t>20140127-0001190936</t>
  </si>
  <si>
    <t>20140127-0001190933</t>
  </si>
  <si>
    <t>20140127-0001190946</t>
  </si>
  <si>
    <t>20140127-0001190948</t>
  </si>
  <si>
    <t>20140127-0001190949</t>
  </si>
  <si>
    <t>20140127-0001190960</t>
  </si>
  <si>
    <t>20140127-0001190972</t>
  </si>
  <si>
    <t>20140127-0001190981</t>
  </si>
  <si>
    <t>20140127-0001190989</t>
  </si>
  <si>
    <t>20140127-0001191008</t>
  </si>
  <si>
    <t>20140127-0001190991</t>
  </si>
  <si>
    <t>20140127-0001191010</t>
  </si>
  <si>
    <t>20140127-0001191039</t>
  </si>
  <si>
    <t>20140127-0001191053</t>
  </si>
  <si>
    <t>20140127-0001191078</t>
  </si>
  <si>
    <t>20140127-0001191079</t>
  </si>
  <si>
    <t>20140127-0001191092</t>
  </si>
  <si>
    <t>20140127-0001191094</t>
  </si>
  <si>
    <t>20140127-0001191112</t>
  </si>
  <si>
    <t>20140127-0001191142</t>
  </si>
  <si>
    <t>20140127-0001191147</t>
  </si>
  <si>
    <t>20140127-0001191150</t>
  </si>
  <si>
    <t>20140127-0001191156</t>
  </si>
  <si>
    <t>20140127-0001191167</t>
  </si>
  <si>
    <t>20140127-0001191200</t>
  </si>
  <si>
    <t>20140127-0001191227</t>
  </si>
  <si>
    <t>20140127-0001191229</t>
  </si>
  <si>
    <t>20140127-0001191242</t>
  </si>
  <si>
    <t>20140127-0001191256</t>
  </si>
  <si>
    <t>20140127-0001191258</t>
  </si>
  <si>
    <t>20140127-0001191280</t>
  </si>
  <si>
    <t>20140127-0001191284</t>
  </si>
  <si>
    <t>20140127-0001191317</t>
  </si>
  <si>
    <t>20140127-0001191321</t>
  </si>
  <si>
    <t>20140127-0001191354</t>
  </si>
  <si>
    <t>20140127-0001191365</t>
  </si>
  <si>
    <t>20140127-0001191375</t>
  </si>
  <si>
    <t>20140127-0001191378</t>
  </si>
  <si>
    <t>20140127-0001191381</t>
  </si>
  <si>
    <t>20140127-0001191383</t>
  </si>
  <si>
    <t>20140127-0001191386</t>
  </si>
  <si>
    <t>20140127-0001191390</t>
  </si>
  <si>
    <t>20140127-0001191396</t>
  </si>
  <si>
    <t>20140127-0001191405</t>
  </si>
  <si>
    <t>20140127-0001191421</t>
  </si>
  <si>
    <t>20140127-0001191427</t>
  </si>
  <si>
    <t xml:space="preserve">Total Records: </t>
  </si>
  <si>
    <t xml:space="preserve">Total Successful/Accepted Transfer: </t>
  </si>
  <si>
    <t xml:space="preserve">Total Unsuccessful Transfer: </t>
  </si>
  <si>
    <t xml:space="preserve">Below information is only for Successful/Accepted transaction </t>
  </si>
  <si>
    <t>Currency Total:-</t>
  </si>
  <si>
    <t>MYR</t>
  </si>
  <si>
    <t>- System Error</t>
  </si>
  <si>
    <t>- Insufficient Funds</t>
  </si>
  <si>
    <t>- Transaction Rejected</t>
  </si>
  <si>
    <t>- Exceeded Daily Limit</t>
  </si>
  <si>
    <t>Total</t>
  </si>
  <si>
    <t>No. of Trx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</si>
</sst>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left" indent="1"/>
    </xf>
    <xf numFmtId="0" fontId="16" fillId="0" borderId="10" xfId="0" applyFont="1" applyBorder="1" applyAlignment="1">
      <alignment horizontal="center"/>
    </xf>
    <xf numFmtId="0" fontId="0" fillId="0" borderId="12" xfId="0" quotePrefix="1" applyBorder="1" applyAlignment="1">
      <alignment horizontal="left" indent="2"/>
    </xf>
    <xf numFmtId="0" fontId="0" fillId="0" borderId="12" xfId="0" applyBorder="1" applyAlignment="1">
      <alignment horizontal="center"/>
    </xf>
    <xf numFmtId="0" fontId="0" fillId="0" borderId="13" xfId="0" quotePrefix="1" applyBorder="1" applyAlignment="1">
      <alignment horizontal="left" indent="2"/>
    </xf>
    <xf numFmtId="0" fontId="0" fillId="0" borderId="13" xfId="0" applyBorder="1" applyAlignment="1">
      <alignment horizontal="center"/>
    </xf>
    <xf numFmtId="0" fontId="16" fillId="0" borderId="11" xfId="0" applyFont="1" applyBorder="1" applyAlignment="1">
      <alignment horizontal="left" indent="1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left" indent="1"/>
    </xf>
    <xf numFmtId="0" fontId="18" fillId="0" borderId="12" xfId="0" quotePrefix="1" applyFont="1" applyBorder="1" applyAlignment="1">
      <alignment horizontal="left" indent="2"/>
    </xf>
    <xf numFmtId="0" fontId="18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8"/>
  <sheetViews>
    <sheetView tabSelected="1" topLeftCell="A332" workbookViewId="0">
      <selection activeCell="A341" sqref="A341"/>
    </sheetView>
  </sheetViews>
  <sheetFormatPr defaultRowHeight="15"/>
  <cols>
    <col min="1" max="1" width="57.7109375" bestFit="1" customWidth="1"/>
    <col min="2" max="2" width="18.5703125" bestFit="1" customWidth="1"/>
    <col min="3" max="3" width="6" bestFit="1" customWidth="1"/>
    <col min="4" max="4" width="17.85546875" bestFit="1" customWidth="1"/>
    <col min="5" max="5" width="45" bestFit="1" customWidth="1"/>
    <col min="6" max="6" width="13.28515625" bestFit="1" customWidth="1"/>
    <col min="7" max="7" width="20.28515625" bestFit="1" customWidth="1"/>
    <col min="8" max="8" width="8.140625" bestFit="1" customWidth="1"/>
    <col min="9" max="9" width="5.7109375" bestFit="1" customWidth="1"/>
    <col min="10" max="10" width="18.7109375" bestFit="1" customWidth="1"/>
    <col min="11" max="11" width="8.140625" bestFit="1" customWidth="1"/>
    <col min="12" max="12" width="13.140625" bestFit="1" customWidth="1"/>
    <col min="13" max="13" width="21" bestFit="1" customWidth="1"/>
    <col min="14" max="14" width="31" bestFit="1" customWidth="1"/>
    <col min="15" max="15" width="31.7109375" bestFit="1" customWidth="1"/>
    <col min="16" max="16" width="18.28515625" bestFit="1" customWidth="1"/>
    <col min="17" max="17" width="27" bestFit="1" customWidth="1"/>
    <col min="18" max="18" width="36.7109375" bestFit="1" customWidth="1"/>
    <col min="19" max="19" width="102.28515625" bestFit="1" customWidth="1"/>
    <col min="20" max="20" width="13.5703125" bestFit="1" customWidth="1"/>
    <col min="21" max="21" width="12.42578125" bestFit="1" customWidth="1"/>
    <col min="22" max="22" width="67" bestFit="1" customWidth="1"/>
    <col min="23" max="23" width="14.7109375" bestFit="1" customWidth="1"/>
    <col min="24" max="24" width="14.85546875" bestFit="1" customWidth="1"/>
  </cols>
  <sheetData>
    <row r="1" spans="1:24">
      <c r="A1" t="s">
        <v>0</v>
      </c>
    </row>
    <row r="2" spans="1:24">
      <c r="A2" t="s">
        <v>1</v>
      </c>
    </row>
    <row r="3" spans="1:24">
      <c r="A3" t="s">
        <v>2</v>
      </c>
    </row>
    <row r="4" spans="1:24">
      <c r="A4" t="s">
        <v>3</v>
      </c>
    </row>
    <row r="5" spans="1:24">
      <c r="A5" t="s">
        <v>4</v>
      </c>
    </row>
    <row r="6" spans="1:24">
      <c r="A6" t="s">
        <v>5</v>
      </c>
    </row>
    <row r="7" spans="1:24">
      <c r="A7" t="s">
        <v>6</v>
      </c>
    </row>
    <row r="9" spans="1:24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18</v>
      </c>
      <c r="M9" t="s">
        <v>19</v>
      </c>
      <c r="N9" t="s">
        <v>20</v>
      </c>
      <c r="O9" t="s">
        <v>21</v>
      </c>
      <c r="P9" t="s">
        <v>22</v>
      </c>
      <c r="Q9" t="s">
        <v>23</v>
      </c>
      <c r="R9" t="s">
        <v>24</v>
      </c>
      <c r="S9" t="s">
        <v>25</v>
      </c>
      <c r="T9" t="s">
        <v>26</v>
      </c>
      <c r="U9" t="s">
        <v>27</v>
      </c>
      <c r="V9" t="s">
        <v>28</v>
      </c>
      <c r="W9" t="s">
        <v>29</v>
      </c>
      <c r="X9" t="s">
        <v>30</v>
      </c>
    </row>
    <row r="10" spans="1:24">
      <c r="A10" t="s">
        <v>31</v>
      </c>
      <c r="B10" t="str">
        <f>"27/01/2014 07:33:37"</f>
        <v>27/01/2014 07:33:37</v>
      </c>
      <c r="C10" t="str">
        <f>"40306"</f>
        <v>40306</v>
      </c>
      <c r="D10" t="str">
        <f>"yazmin83"</f>
        <v>yazmin83</v>
      </c>
      <c r="E10" t="str">
        <f>"MOHD YAZMIN BIN YAACOB"</f>
        <v>MOHD YAZMIN BIN YAACOB</v>
      </c>
      <c r="F10" t="str">
        <f>"011103003273"</f>
        <v>011103003273</v>
      </c>
      <c r="G10" t="str">
        <f>"1011041000016834"</f>
        <v>1011041000016834</v>
      </c>
      <c r="H10" t="str">
        <f t="shared" ref="H10:I29" si="0">"MYR"</f>
        <v>MYR</v>
      </c>
      <c r="I10" t="str">
        <f t="shared" si="0"/>
        <v>MYR</v>
      </c>
      <c r="J10" t="str">
        <f>"2012-05-11"</f>
        <v>2012-05-11</v>
      </c>
      <c r="K10" t="str">
        <f>"50.00"</f>
        <v>50.00</v>
      </c>
      <c r="L10" t="str">
        <f>"50.00"</f>
        <v>50.00</v>
      </c>
      <c r="M10" t="str">
        <f>"NIL"</f>
        <v>NIL</v>
      </c>
      <c r="N10" t="str">
        <f>"MOHD YAZMIN BIN YAAC"</f>
        <v>MOHD YAZMIN BIN YAAC</v>
      </c>
      <c r="O10" t="str">
        <f>"BANK SIMPANAN NASIONAL"</f>
        <v>BANK SIMPANAN NASIONAL</v>
      </c>
      <c r="P10" t="str">
        <f>"BSNAMYKL"</f>
        <v>BSNAMYKL</v>
      </c>
      <c r="Q10" t="str">
        <f>"NIL"</f>
        <v>NIL</v>
      </c>
      <c r="R10" t="str">
        <f>"kurty832002@yahoo.com"</f>
        <v>kurty832002@yahoo.com</v>
      </c>
      <c r="S10" t="str">
        <f>"iPAY to MOHD YAZMIN BIN YAAC (BANK SIMPANAN NASIONAL: 1011041000016834) (Ref No: 270114158062)"</f>
        <v>iPAY to MOHD YAZMIN BIN YAAC (BANK SIMPANAN NASIONAL: 1011041000016834) (Ref No: 270114158062)</v>
      </c>
      <c r="T10" t="str">
        <f t="shared" ref="T10:T73" si="1">"2014-01-27"</f>
        <v>2014-01-27</v>
      </c>
      <c r="U10" t="s">
        <v>32</v>
      </c>
      <c r="V10" t="str">
        <f>"Successful"</f>
        <v>Successful</v>
      </c>
      <c r="W10" t="str">
        <f>"270114158062"</f>
        <v>270114158062</v>
      </c>
      <c r="X10" t="str">
        <f>"183.171.161.247"</f>
        <v>183.171.161.247</v>
      </c>
    </row>
    <row r="11" spans="1:24">
      <c r="A11" t="s">
        <v>33</v>
      </c>
      <c r="B11" t="str">
        <f>"27/01/2014 07:36:32"</f>
        <v>27/01/2014 07:36:32</v>
      </c>
      <c r="C11" t="str">
        <f>"25535"</f>
        <v>25535</v>
      </c>
      <c r="D11" t="str">
        <f>"winkyee"</f>
        <v>winkyee</v>
      </c>
      <c r="E11" t="str">
        <f>"WONG YEE MUN"</f>
        <v>WONG YEE MUN</v>
      </c>
      <c r="F11" t="str">
        <f>"001102029146"</f>
        <v>001102029146</v>
      </c>
      <c r="G11" t="str">
        <f>"5400070602581165"</f>
        <v>5400070602581165</v>
      </c>
      <c r="H11" t="str">
        <f t="shared" si="0"/>
        <v>MYR</v>
      </c>
      <c r="I11" t="str">
        <f t="shared" si="0"/>
        <v>MYR</v>
      </c>
      <c r="J11" t="str">
        <f>"NIL"</f>
        <v>NIL</v>
      </c>
      <c r="K11" t="str">
        <f>"535.90"</f>
        <v>535.90</v>
      </c>
      <c r="L11" t="str">
        <f>"535.90"</f>
        <v>535.90</v>
      </c>
      <c r="M11" t="str">
        <f>"credit card 27.01.14"</f>
        <v>credit card 27.01.14</v>
      </c>
      <c r="N11" t="str">
        <f>"WINKY WONG"</f>
        <v>WINKY WONG</v>
      </c>
      <c r="O11" t="str">
        <f>"CIMB BANK"</f>
        <v>CIMB BANK</v>
      </c>
      <c r="P11" t="str">
        <f>"CIBBMYKL"</f>
        <v>CIBBMYKL</v>
      </c>
      <c r="Q11" t="str">
        <f>"credit card 27.01.14"</f>
        <v>credit card 27.01.14</v>
      </c>
      <c r="R11" t="str">
        <f>"wiiknz@gmail.com"</f>
        <v>wiiknz@gmail.com</v>
      </c>
      <c r="S11" t="str">
        <f>"iPAY to WINKY WONG (CIMB BANK: 5400070602581165)"</f>
        <v>iPAY to WINKY WONG (CIMB BANK: 5400070602581165)</v>
      </c>
      <c r="T11" t="str">
        <f t="shared" si="1"/>
        <v>2014-01-27</v>
      </c>
      <c r="U11" t="s">
        <v>34</v>
      </c>
      <c r="V11" t="str">
        <f>"System error"</f>
        <v>System error</v>
      </c>
      <c r="W11" t="str">
        <f>"NIL"</f>
        <v>NIL</v>
      </c>
      <c r="X11" t="str">
        <f>"219.93.33.173"</f>
        <v>219.93.33.173</v>
      </c>
    </row>
    <row r="12" spans="1:24">
      <c r="A12" t="s">
        <v>35</v>
      </c>
      <c r="B12" t="str">
        <f>"27/01/2014 07:39:16"</f>
        <v>27/01/2014 07:39:16</v>
      </c>
      <c r="C12" t="str">
        <f>"25535"</f>
        <v>25535</v>
      </c>
      <c r="D12" t="str">
        <f>"winkyee"</f>
        <v>winkyee</v>
      </c>
      <c r="E12" t="str">
        <f>"WONG YEE MUN"</f>
        <v>WONG YEE MUN</v>
      </c>
      <c r="F12" t="str">
        <f>"001102029146"</f>
        <v>001102029146</v>
      </c>
      <c r="G12" t="str">
        <f>"14170085674521"</f>
        <v>14170085674521</v>
      </c>
      <c r="H12" t="str">
        <f t="shared" si="0"/>
        <v>MYR</v>
      </c>
      <c r="I12" t="str">
        <f t="shared" si="0"/>
        <v>MYR</v>
      </c>
      <c r="J12" t="str">
        <f>"2011-10-20"</f>
        <v>2011-10-20</v>
      </c>
      <c r="K12" t="str">
        <f>"735.90"</f>
        <v>735.90</v>
      </c>
      <c r="L12" t="str">
        <f>"735.90"</f>
        <v>735.90</v>
      </c>
      <c r="M12" t="str">
        <f>"trf on 27.01.14"</f>
        <v>trf on 27.01.14</v>
      </c>
      <c r="N12" t="str">
        <f>"WONG YEE MUN"</f>
        <v>WONG YEE MUN</v>
      </c>
      <c r="O12" t="str">
        <f>"CIMB BANK"</f>
        <v>CIMB BANK</v>
      </c>
      <c r="P12" t="str">
        <f>"CIBBMYKL"</f>
        <v>CIBBMYKL</v>
      </c>
      <c r="Q12" t="str">
        <f>"trf on 27.01.14"</f>
        <v>trf on 27.01.14</v>
      </c>
      <c r="R12" t="str">
        <f>"wiiknz@gmail.com"</f>
        <v>wiiknz@gmail.com</v>
      </c>
      <c r="S12" t="str">
        <f>"iPAY to WONG YEE MUN (CIMB BANK: 14170085674521) (Ref No: 270114158066)"</f>
        <v>iPAY to WONG YEE MUN (CIMB BANK: 14170085674521) (Ref No: 270114158066)</v>
      </c>
      <c r="T12" t="str">
        <f t="shared" si="1"/>
        <v>2014-01-27</v>
      </c>
      <c r="U12" t="s">
        <v>32</v>
      </c>
      <c r="V12" t="str">
        <f>"Successful"</f>
        <v>Successful</v>
      </c>
      <c r="W12" t="str">
        <f>"270114158066"</f>
        <v>270114158066</v>
      </c>
      <c r="X12" t="str">
        <f>"219.93.33.173"</f>
        <v>219.93.33.173</v>
      </c>
    </row>
    <row r="13" spans="1:24">
      <c r="A13" t="s">
        <v>36</v>
      </c>
      <c r="B13" t="str">
        <f>"27/01/2014 07:42:15"</f>
        <v>27/01/2014 07:42:15</v>
      </c>
      <c r="C13" t="str">
        <f>"25535"</f>
        <v>25535</v>
      </c>
      <c r="D13" t="str">
        <f>"winkyee"</f>
        <v>winkyee</v>
      </c>
      <c r="E13" t="str">
        <f>"WONG YEE MUN"</f>
        <v>WONG YEE MUN</v>
      </c>
      <c r="F13" t="str">
        <f>"001102029146"</f>
        <v>001102029146</v>
      </c>
      <c r="G13" t="str">
        <f>"114076060410"</f>
        <v>114076060410</v>
      </c>
      <c r="H13" t="str">
        <f t="shared" si="0"/>
        <v>MYR</v>
      </c>
      <c r="I13" t="str">
        <f t="shared" si="0"/>
        <v>MYR</v>
      </c>
      <c r="J13" t="str">
        <f>"NIL"</f>
        <v>NIL</v>
      </c>
      <c r="K13" t="str">
        <f>"400.00"</f>
        <v>400.00</v>
      </c>
      <c r="L13" t="str">
        <f>"400.00"</f>
        <v>400.00</v>
      </c>
      <c r="M13" t="str">
        <f>"trf on 27.01.14"</f>
        <v>trf on 27.01.14</v>
      </c>
      <c r="N13" t="str">
        <f>"WONG YEE MUN"</f>
        <v>WONG YEE MUN</v>
      </c>
      <c r="O13" t="str">
        <f>"MAYBANK"</f>
        <v>MAYBANK</v>
      </c>
      <c r="P13" t="str">
        <f>"MBBEMYKL"</f>
        <v>MBBEMYKL</v>
      </c>
      <c r="Q13" t="str">
        <f>"trf on 27.01.14"</f>
        <v>trf on 27.01.14</v>
      </c>
      <c r="R13" t="str">
        <f>"wiiknz@gmail.com"</f>
        <v>wiiknz@gmail.com</v>
      </c>
      <c r="S13" t="str">
        <f>"iPAY to WONG YEE MUN (MAYBANK: 114076060410)"</f>
        <v>iPAY to WONG YEE MUN (MAYBANK: 114076060410)</v>
      </c>
      <c r="T13" t="str">
        <f t="shared" si="1"/>
        <v>2014-01-27</v>
      </c>
      <c r="U13" t="s">
        <v>34</v>
      </c>
      <c r="V13" t="str">
        <f>"System error"</f>
        <v>System error</v>
      </c>
      <c r="W13" t="str">
        <f>"NIL"</f>
        <v>NIL</v>
      </c>
      <c r="X13" t="str">
        <f>"219.93.33.173"</f>
        <v>219.93.33.173</v>
      </c>
    </row>
    <row r="14" spans="1:24">
      <c r="A14" t="s">
        <v>37</v>
      </c>
      <c r="B14" t="str">
        <f>"27/01/2014 07:43:56"</f>
        <v>27/01/2014 07:43:56</v>
      </c>
      <c r="C14" t="str">
        <f>"25535"</f>
        <v>25535</v>
      </c>
      <c r="D14" t="str">
        <f>"winkyee"</f>
        <v>winkyee</v>
      </c>
      <c r="E14" t="str">
        <f>"WONG YEE MUN"</f>
        <v>WONG YEE MUN</v>
      </c>
      <c r="F14" t="str">
        <f>"001102029146"</f>
        <v>001102029146</v>
      </c>
      <c r="G14" t="str">
        <f>"114076060410"</f>
        <v>114076060410</v>
      </c>
      <c r="H14" t="str">
        <f t="shared" si="0"/>
        <v>MYR</v>
      </c>
      <c r="I14" t="str">
        <f t="shared" si="0"/>
        <v>MYR</v>
      </c>
      <c r="J14" t="str">
        <f>"2011-10-20"</f>
        <v>2011-10-20</v>
      </c>
      <c r="K14" t="str">
        <f>"400.00"</f>
        <v>400.00</v>
      </c>
      <c r="L14" t="str">
        <f>"400.00"</f>
        <v>400.00</v>
      </c>
      <c r="M14" t="str">
        <f>"trf on 27.1.14"</f>
        <v>trf on 27.1.14</v>
      </c>
      <c r="N14" t="str">
        <f>"WONG YEE MUN"</f>
        <v>WONG YEE MUN</v>
      </c>
      <c r="O14" t="str">
        <f>"MAYBANK"</f>
        <v>MAYBANK</v>
      </c>
      <c r="P14" t="str">
        <f>"MBBEMYKL"</f>
        <v>MBBEMYKL</v>
      </c>
      <c r="Q14" t="str">
        <f>"trf on 27.1.14"</f>
        <v>trf on 27.1.14</v>
      </c>
      <c r="R14" t="str">
        <f>"wiiknz@gmail.com"</f>
        <v>wiiknz@gmail.com</v>
      </c>
      <c r="S14" t="str">
        <f>"iPAY to WONG YEE MUN (MAYBANK: 114076060410) (Ref No: 270114158070)"</f>
        <v>iPAY to WONG YEE MUN (MAYBANK: 114076060410) (Ref No: 270114158070)</v>
      </c>
      <c r="T14" t="str">
        <f t="shared" si="1"/>
        <v>2014-01-27</v>
      </c>
      <c r="U14" t="s">
        <v>32</v>
      </c>
      <c r="V14" t="str">
        <f>"Successful"</f>
        <v>Successful</v>
      </c>
      <c r="W14" t="str">
        <f>"270114158070"</f>
        <v>270114158070</v>
      </c>
      <c r="X14" t="str">
        <f>"219.93.33.173"</f>
        <v>219.93.33.173</v>
      </c>
    </row>
    <row r="15" spans="1:24">
      <c r="A15" t="s">
        <v>38</v>
      </c>
      <c r="B15" t="str">
        <f>"27/01/2014 07:45:53"</f>
        <v>27/01/2014 07:45:53</v>
      </c>
      <c r="C15" t="str">
        <f>"25535"</f>
        <v>25535</v>
      </c>
      <c r="D15" t="str">
        <f>"winkyee"</f>
        <v>winkyee</v>
      </c>
      <c r="E15" t="str">
        <f>"WONG YEE MUN"</f>
        <v>WONG YEE MUN</v>
      </c>
      <c r="F15" t="str">
        <f>"001102029146"</f>
        <v>001102029146</v>
      </c>
      <c r="G15" t="str">
        <f>"14170085674521"</f>
        <v>14170085674521</v>
      </c>
      <c r="H15" t="str">
        <f t="shared" si="0"/>
        <v>MYR</v>
      </c>
      <c r="I15" t="str">
        <f t="shared" si="0"/>
        <v>MYR</v>
      </c>
      <c r="J15" t="str">
        <f>"NIL"</f>
        <v>NIL</v>
      </c>
      <c r="K15" t="str">
        <f>"560.00"</f>
        <v>560.00</v>
      </c>
      <c r="L15" t="str">
        <f>"560.00"</f>
        <v>560.00</v>
      </c>
      <c r="M15" t="str">
        <f>"trf on 27.1.14"</f>
        <v>trf on 27.1.14</v>
      </c>
      <c r="N15" t="str">
        <f>"WONG YEE MUN"</f>
        <v>WONG YEE MUN</v>
      </c>
      <c r="O15" t="str">
        <f>"CIMB BANK"</f>
        <v>CIMB BANK</v>
      </c>
      <c r="P15" t="str">
        <f>"CIBBMYKL"</f>
        <v>CIBBMYKL</v>
      </c>
      <c r="Q15" t="str">
        <f>"trf on 27.1.14"</f>
        <v>trf on 27.1.14</v>
      </c>
      <c r="R15" t="str">
        <f>"wiiknz@gmail.com"</f>
        <v>wiiknz@gmail.com</v>
      </c>
      <c r="S15" t="str">
        <f>"iPAY to WONG YEE MUN (CIMB BANK: 14170085674521)"</f>
        <v>iPAY to WONG YEE MUN (CIMB BANK: 14170085674521)</v>
      </c>
      <c r="T15" t="str">
        <f t="shared" si="1"/>
        <v>2014-01-27</v>
      </c>
      <c r="U15" t="s">
        <v>34</v>
      </c>
      <c r="V15" t="str">
        <f>"System error"</f>
        <v>System error</v>
      </c>
      <c r="W15" t="str">
        <f>"NIL"</f>
        <v>NIL</v>
      </c>
      <c r="X15" t="str">
        <f>"219.93.33.173"</f>
        <v>219.93.33.173</v>
      </c>
    </row>
    <row r="16" spans="1:24">
      <c r="A16" t="s">
        <v>39</v>
      </c>
      <c r="B16" t="str">
        <f>"27/01/2014 07:46:52"</f>
        <v>27/01/2014 07:46:52</v>
      </c>
      <c r="C16" t="str">
        <f>"1564"</f>
        <v>1564</v>
      </c>
      <c r="D16" t="str">
        <f>"ija_jules82"</f>
        <v>ija_jules82</v>
      </c>
      <c r="E16" t="str">
        <f>"SHARIZA BINTI ABD HAMID"</f>
        <v>SHARIZA BINTI ABD HAMID</v>
      </c>
      <c r="F16" t="str">
        <f>"004102000038"</f>
        <v>004102000038</v>
      </c>
      <c r="G16" t="str">
        <f>"15109400042950"</f>
        <v>15109400042950</v>
      </c>
      <c r="H16" t="str">
        <f t="shared" si="0"/>
        <v>MYR</v>
      </c>
      <c r="I16" t="str">
        <f t="shared" si="0"/>
        <v>MYR</v>
      </c>
      <c r="J16" t="str">
        <f>"2008-04-12"</f>
        <v>2008-04-12</v>
      </c>
      <c r="K16" t="str">
        <f>"200.00"</f>
        <v>200.00</v>
      </c>
      <c r="L16" t="str">
        <f>"200.00"</f>
        <v>200.00</v>
      </c>
      <c r="M16" t="str">
        <f>"NIL"</f>
        <v>NIL</v>
      </c>
      <c r="N16" t="str">
        <f>"ABD HAMID BIN"</f>
        <v>ABD HAMID BIN</v>
      </c>
      <c r="O16" t="str">
        <f>"RHB BANK"</f>
        <v>RHB BANK</v>
      </c>
      <c r="P16" t="str">
        <f>"RHBBMYKL"</f>
        <v>RHBBMYKL</v>
      </c>
      <c r="Q16" t="str">
        <f>"NIL"</f>
        <v>NIL</v>
      </c>
      <c r="R16" t="str">
        <f>"NIL"</f>
        <v>NIL</v>
      </c>
      <c r="S16" t="str">
        <f>"iPAY to ABD HAMID BIN (RHB BANK: 15109400042950) (Ref No: 270114158075)"</f>
        <v>iPAY to ABD HAMID BIN (RHB BANK: 15109400042950) (Ref No: 270114158075)</v>
      </c>
      <c r="T16" t="str">
        <f t="shared" si="1"/>
        <v>2014-01-27</v>
      </c>
      <c r="U16" t="s">
        <v>32</v>
      </c>
      <c r="V16" t="str">
        <f>"Successful"</f>
        <v>Successful</v>
      </c>
      <c r="W16" t="str">
        <f>"270114158075"</f>
        <v>270114158075</v>
      </c>
      <c r="X16" t="str">
        <f>"183.171.165.196"</f>
        <v>183.171.165.196</v>
      </c>
    </row>
    <row r="17" spans="1:24">
      <c r="A17" t="s">
        <v>40</v>
      </c>
      <c r="B17" t="str">
        <f>"27/01/2014 08:08:50"</f>
        <v>27/01/2014 08:08:50</v>
      </c>
      <c r="C17" t="str">
        <f>"49107"</f>
        <v>49107</v>
      </c>
      <c r="D17" t="str">
        <f>"hidayahjamal"</f>
        <v>hidayahjamal</v>
      </c>
      <c r="E17" t="str">
        <f>"NUR HIDAYAH BINTI JAMALUDIN"</f>
        <v>NUR HIDAYAH BINTI JAMALUDIN</v>
      </c>
      <c r="F17" t="str">
        <f>"001103020439"</f>
        <v>001103020439</v>
      </c>
      <c r="G17" t="str">
        <f>"14250008306207"</f>
        <v>14250008306207</v>
      </c>
      <c r="H17" t="str">
        <f t="shared" si="0"/>
        <v>MYR</v>
      </c>
      <c r="I17" t="str">
        <f t="shared" si="0"/>
        <v>MYR</v>
      </c>
      <c r="J17" t="str">
        <f>"2012-11-05"</f>
        <v>2012-11-05</v>
      </c>
      <c r="K17" t="str">
        <f>"200.00"</f>
        <v>200.00</v>
      </c>
      <c r="L17" t="str">
        <f>"200.00"</f>
        <v>200.00</v>
      </c>
      <c r="M17" t="str">
        <f>"NIL"</f>
        <v>NIL</v>
      </c>
      <c r="N17" t="str">
        <f>"NUR HIDAYAH B"</f>
        <v>NUR HIDAYAH B</v>
      </c>
      <c r="O17" t="str">
        <f>"CIMB BANK"</f>
        <v>CIMB BANK</v>
      </c>
      <c r="P17" t="str">
        <f>"CIBBMYKL"</f>
        <v>CIBBMYKL</v>
      </c>
      <c r="Q17" t="str">
        <f t="shared" ref="Q17:Q22" si="2">"NIL"</f>
        <v>NIL</v>
      </c>
      <c r="R17" t="str">
        <f>"hidayahjamal@hotmail.com"</f>
        <v>hidayahjamal@hotmail.com</v>
      </c>
      <c r="S17" t="str">
        <f>"iPAY to NUR HIDAYAH B (CIMB BANK: 14250008306207) (Ref No: 270114158078)"</f>
        <v>iPAY to NUR HIDAYAH B (CIMB BANK: 14250008306207) (Ref No: 270114158078)</v>
      </c>
      <c r="T17" t="str">
        <f t="shared" si="1"/>
        <v>2014-01-27</v>
      </c>
      <c r="U17" t="s">
        <v>32</v>
      </c>
      <c r="V17" t="str">
        <f>"Successful"</f>
        <v>Successful</v>
      </c>
      <c r="W17" t="str">
        <f>"270114158078"</f>
        <v>270114158078</v>
      </c>
      <c r="X17" t="str">
        <f>"219.93.33.173"</f>
        <v>219.93.33.173</v>
      </c>
    </row>
    <row r="18" spans="1:24">
      <c r="A18" t="s">
        <v>41</v>
      </c>
      <c r="B18" t="str">
        <f>"27/01/2014 08:12:25"</f>
        <v>27/01/2014 08:12:25</v>
      </c>
      <c r="C18" t="str">
        <f>"1663"</f>
        <v>1663</v>
      </c>
      <c r="D18" t="str">
        <f>"marina_law"</f>
        <v>marina_law</v>
      </c>
      <c r="E18" t="str">
        <f>"LAW SUAN SIM"</f>
        <v>LAW SUAN SIM</v>
      </c>
      <c r="F18" t="str">
        <f>"001102007452"</f>
        <v>001102007452</v>
      </c>
      <c r="G18" t="str">
        <f>"4539669007558707"</f>
        <v>4539669007558707</v>
      </c>
      <c r="H18" t="str">
        <f t="shared" si="0"/>
        <v>MYR</v>
      </c>
      <c r="I18" t="str">
        <f t="shared" si="0"/>
        <v>MYR</v>
      </c>
      <c r="J18" t="str">
        <f>"NIL"</f>
        <v>NIL</v>
      </c>
      <c r="K18" t="str">
        <f>"365.39"</f>
        <v>365.39</v>
      </c>
      <c r="L18" t="str">
        <f>"365.39"</f>
        <v>365.39</v>
      </c>
      <c r="M18" t="str">
        <f>"NIL"</f>
        <v>NIL</v>
      </c>
      <c r="N18" t="str">
        <f>"MARINA LAW"</f>
        <v>MARINA LAW</v>
      </c>
      <c r="O18" t="str">
        <f>"HSBC BANK / HSBC AMANAH"</f>
        <v>HSBC BANK / HSBC AMANAH</v>
      </c>
      <c r="P18" t="str">
        <f>"HBMBMYKL"</f>
        <v>HBMBMYKL</v>
      </c>
      <c r="Q18" t="str">
        <f t="shared" si="2"/>
        <v>NIL</v>
      </c>
      <c r="R18" t="str">
        <f>"NIL"</f>
        <v>NIL</v>
      </c>
      <c r="S18" t="str">
        <f>"iPAY to MARINA LAW (HSBC BANK / HSBC AMANAH: 4539669007558707)"</f>
        <v>iPAY to MARINA LAW (HSBC BANK / HSBC AMANAH: 4539669007558707)</v>
      </c>
      <c r="T18" t="str">
        <f t="shared" si="1"/>
        <v>2014-01-27</v>
      </c>
      <c r="U18" t="s">
        <v>34</v>
      </c>
      <c r="V18" t="str">
        <f>"System error"</f>
        <v>System error</v>
      </c>
      <c r="W18" t="str">
        <f>"NIL"</f>
        <v>NIL</v>
      </c>
      <c r="X18" t="str">
        <f>"219.93.33.173"</f>
        <v>219.93.33.173</v>
      </c>
    </row>
    <row r="19" spans="1:24">
      <c r="A19" t="s">
        <v>42</v>
      </c>
      <c r="B19" t="str">
        <f>"27/01/2014 08:12:49"</f>
        <v>27/01/2014 08:12:49</v>
      </c>
      <c r="C19" t="str">
        <f>"49107"</f>
        <v>49107</v>
      </c>
      <c r="D19" t="str">
        <f>"hidayahjamal"</f>
        <v>hidayahjamal</v>
      </c>
      <c r="E19" t="str">
        <f>"NUR HIDAYAH BINTI JAMALUDIN"</f>
        <v>NUR HIDAYAH BINTI JAMALUDIN</v>
      </c>
      <c r="F19" t="str">
        <f>"001103020439"</f>
        <v>001103020439</v>
      </c>
      <c r="G19" t="str">
        <f>"162366972613"</f>
        <v>162366972613</v>
      </c>
      <c r="H19" t="str">
        <f t="shared" si="0"/>
        <v>MYR</v>
      </c>
      <c r="I19" t="str">
        <f t="shared" si="0"/>
        <v>MYR</v>
      </c>
      <c r="J19" t="str">
        <f>"2012-11-05"</f>
        <v>2012-11-05</v>
      </c>
      <c r="K19" t="str">
        <f>"365.00"</f>
        <v>365.00</v>
      </c>
      <c r="L19" t="str">
        <f>"365.00"</f>
        <v>365.00</v>
      </c>
      <c r="M19" t="str">
        <f>"NIL"</f>
        <v>NIL</v>
      </c>
      <c r="N19" t="str">
        <f>"NUR HIDAYAH BINTI JA"</f>
        <v>NUR HIDAYAH BINTI JA</v>
      </c>
      <c r="O19" t="str">
        <f>"MAYBANK"</f>
        <v>MAYBANK</v>
      </c>
      <c r="P19" t="str">
        <f>"MBBEMYKL"</f>
        <v>MBBEMYKL</v>
      </c>
      <c r="Q19" t="str">
        <f t="shared" si="2"/>
        <v>NIL</v>
      </c>
      <c r="R19" t="str">
        <f>"hidayahjamal@hotmail.com"</f>
        <v>hidayahjamal@hotmail.com</v>
      </c>
      <c r="S19" t="str">
        <f>"iPAY to NUR HIDAYAH BINTI JA (MAYBANK: 162366972613) (Ref No: 270114158082)"</f>
        <v>iPAY to NUR HIDAYAH BINTI JA (MAYBANK: 162366972613) (Ref No: 270114158082)</v>
      </c>
      <c r="T19" t="str">
        <f t="shared" si="1"/>
        <v>2014-01-27</v>
      </c>
      <c r="U19" t="s">
        <v>32</v>
      </c>
      <c r="V19" t="str">
        <f>"Successful"</f>
        <v>Successful</v>
      </c>
      <c r="W19" t="str">
        <f>"270114158082"</f>
        <v>270114158082</v>
      </c>
      <c r="X19" t="str">
        <f>"219.93.33.173"</f>
        <v>219.93.33.173</v>
      </c>
    </row>
    <row r="20" spans="1:24">
      <c r="A20" t="s">
        <v>43</v>
      </c>
      <c r="B20" t="str">
        <f>"27/01/2014 08:13:23"</f>
        <v>27/01/2014 08:13:23</v>
      </c>
      <c r="C20" t="str">
        <f>"45855"</f>
        <v>45855</v>
      </c>
      <c r="D20" t="str">
        <f>"azlina_anual"</f>
        <v>azlina_anual</v>
      </c>
      <c r="E20" t="str">
        <f>"AZLINA BINTI ANUAL"</f>
        <v>AZLINA BINTI ANUAL</v>
      </c>
      <c r="F20" t="str">
        <f>"002102026971"</f>
        <v>002102026971</v>
      </c>
      <c r="G20" t="str">
        <f>"02110023578526"</f>
        <v>02110023578526</v>
      </c>
      <c r="H20" t="str">
        <f t="shared" si="0"/>
        <v>MYR</v>
      </c>
      <c r="I20" t="str">
        <f t="shared" si="0"/>
        <v>MYR</v>
      </c>
      <c r="J20" t="str">
        <f>"NIL"</f>
        <v>NIL</v>
      </c>
      <c r="K20" t="str">
        <f>"618.00"</f>
        <v>618.00</v>
      </c>
      <c r="L20" t="str">
        <f>"618.00"</f>
        <v>618.00</v>
      </c>
      <c r="M20" t="str">
        <f>"landoffpresentation"</f>
        <v>landoffpresentation</v>
      </c>
      <c r="N20" t="str">
        <f>"MOHD RAZI B C"</f>
        <v>MOHD RAZI B C</v>
      </c>
      <c r="O20" t="str">
        <f>"CIMB BANK"</f>
        <v>CIMB BANK</v>
      </c>
      <c r="P20" t="str">
        <f>"CIBBMYKL"</f>
        <v>CIBBMYKL</v>
      </c>
      <c r="Q20" t="str">
        <f t="shared" si="2"/>
        <v>NIL</v>
      </c>
      <c r="R20" t="str">
        <f>"mohdrazi33@gmail.com"</f>
        <v>mohdrazi33@gmail.com</v>
      </c>
      <c r="S20" t="str">
        <f>"iPAY to MOHD RAZI B C (CIMB BANK: 02110023578526)"</f>
        <v>iPAY to MOHD RAZI B C (CIMB BANK: 02110023578526)</v>
      </c>
      <c r="T20" t="str">
        <f t="shared" si="1"/>
        <v>2014-01-27</v>
      </c>
      <c r="U20" t="s">
        <v>34</v>
      </c>
      <c r="V20" t="str">
        <f>"System error"</f>
        <v>System error</v>
      </c>
      <c r="W20" t="str">
        <f>"NIL"</f>
        <v>NIL</v>
      </c>
      <c r="X20" t="str">
        <f>"175.143.208.250"</f>
        <v>175.143.208.250</v>
      </c>
    </row>
    <row r="21" spans="1:24">
      <c r="A21" t="s">
        <v>44</v>
      </c>
      <c r="B21" t="str">
        <f>"27/01/2014 08:14:27"</f>
        <v>27/01/2014 08:14:27</v>
      </c>
      <c r="C21" t="str">
        <f>"45855"</f>
        <v>45855</v>
      </c>
      <c r="D21" t="str">
        <f>"azlina_anual"</f>
        <v>azlina_anual</v>
      </c>
      <c r="E21" t="str">
        <f>"AZLINA BINTI ANUAL"</f>
        <v>AZLINA BINTI ANUAL</v>
      </c>
      <c r="F21" t="str">
        <f>"002102026971"</f>
        <v>002102026971</v>
      </c>
      <c r="G21" t="str">
        <f>"02110023578526"</f>
        <v>02110023578526</v>
      </c>
      <c r="H21" t="str">
        <f t="shared" si="0"/>
        <v>MYR</v>
      </c>
      <c r="I21" t="str">
        <f t="shared" si="0"/>
        <v>MYR</v>
      </c>
      <c r="J21" t="str">
        <f>"2012-12-04"</f>
        <v>2012-12-04</v>
      </c>
      <c r="K21" t="str">
        <f>"618.00"</f>
        <v>618.00</v>
      </c>
      <c r="L21" t="str">
        <f>"618.00"</f>
        <v>618.00</v>
      </c>
      <c r="M21" t="str">
        <f>"landoffpresentation"</f>
        <v>landoffpresentation</v>
      </c>
      <c r="N21" t="str">
        <f>"MOHD RAZI B C"</f>
        <v>MOHD RAZI B C</v>
      </c>
      <c r="O21" t="str">
        <f>"CIMB BANK"</f>
        <v>CIMB BANK</v>
      </c>
      <c r="P21" t="str">
        <f>"CIBBMYKL"</f>
        <v>CIBBMYKL</v>
      </c>
      <c r="Q21" t="str">
        <f t="shared" si="2"/>
        <v>NIL</v>
      </c>
      <c r="R21" t="str">
        <f>"mohdrazi33@gmail.com"</f>
        <v>mohdrazi33@gmail.com</v>
      </c>
      <c r="S21" t="str">
        <f>"iPAY to MOHD RAZI B C (CIMB BANK: 02110023578526) (Ref No: 270114158087)"</f>
        <v>iPAY to MOHD RAZI B C (CIMB BANK: 02110023578526) (Ref No: 270114158087)</v>
      </c>
      <c r="T21" t="str">
        <f t="shared" si="1"/>
        <v>2014-01-27</v>
      </c>
      <c r="U21" t="s">
        <v>32</v>
      </c>
      <c r="V21" t="str">
        <f>"Successful"</f>
        <v>Successful</v>
      </c>
      <c r="W21" t="str">
        <f>"270114158087"</f>
        <v>270114158087</v>
      </c>
      <c r="X21" t="str">
        <f>"175.143.208.250"</f>
        <v>175.143.208.250</v>
      </c>
    </row>
    <row r="22" spans="1:24">
      <c r="A22" t="s">
        <v>45</v>
      </c>
      <c r="B22" t="str">
        <f>"27/01/2014 08:14:40"</f>
        <v>27/01/2014 08:14:40</v>
      </c>
      <c r="C22" t="str">
        <f>"49107"</f>
        <v>49107</v>
      </c>
      <c r="D22" t="str">
        <f>"hidayahjamal"</f>
        <v>hidayahjamal</v>
      </c>
      <c r="E22" t="str">
        <f>"NUR HIDAYAH BINTI JAMALUDIN"</f>
        <v>NUR HIDAYAH BINTI JAMALUDIN</v>
      </c>
      <c r="F22" t="str">
        <f>"001103020439"</f>
        <v>001103020439</v>
      </c>
      <c r="G22" t="str">
        <f>"12065020221072"</f>
        <v>12065020221072</v>
      </c>
      <c r="H22" t="str">
        <f t="shared" si="0"/>
        <v>MYR</v>
      </c>
      <c r="I22" t="str">
        <f t="shared" si="0"/>
        <v>MYR</v>
      </c>
      <c r="J22" t="str">
        <f>"NIL"</f>
        <v>NIL</v>
      </c>
      <c r="K22" t="str">
        <f>"150.00"</f>
        <v>150.00</v>
      </c>
      <c r="L22" t="str">
        <f>"150.00"</f>
        <v>150.00</v>
      </c>
      <c r="M22" t="str">
        <f>"NIL"</f>
        <v>NIL</v>
      </c>
      <c r="N22" t="str">
        <f>"CIK NUR HIDAYAH BINTI JAMA"</f>
        <v>CIK NUR HIDAYAH BINTI JAMA</v>
      </c>
      <c r="O22" t="str">
        <f>"BANK ISLAM MALAYSIA BHD"</f>
        <v>BANK ISLAM MALAYSIA BHD</v>
      </c>
      <c r="P22" t="str">
        <f>"BIMBMYKL"</f>
        <v>BIMBMYKL</v>
      </c>
      <c r="Q22" t="str">
        <f t="shared" si="2"/>
        <v>NIL</v>
      </c>
      <c r="R22" t="str">
        <f>"hidayahjamal@hotmail.com"</f>
        <v>hidayahjamal@hotmail.com</v>
      </c>
      <c r="S22" t="str">
        <f>"iPAY to CIK NUR HIDAYAH BINTI JAMA (BANK ISLAM MALAYSIA BHD: 12065020221072)"</f>
        <v>iPAY to CIK NUR HIDAYAH BINTI JAMA (BANK ISLAM MALAYSIA BHD: 12065020221072)</v>
      </c>
      <c r="T22" t="str">
        <f t="shared" si="1"/>
        <v>2014-01-27</v>
      </c>
      <c r="U22" t="s">
        <v>34</v>
      </c>
      <c r="V22" t="str">
        <f>"System error"</f>
        <v>System error</v>
      </c>
      <c r="W22" t="str">
        <f>"NIL"</f>
        <v>NIL</v>
      </c>
      <c r="X22" t="str">
        <f>"219.93.33.173"</f>
        <v>219.93.33.173</v>
      </c>
    </row>
    <row r="23" spans="1:24">
      <c r="A23" t="s">
        <v>46</v>
      </c>
      <c r="B23" t="str">
        <f>"27/01/2014 08:17:47"</f>
        <v>27/01/2014 08:17:47</v>
      </c>
      <c r="C23" t="str">
        <f>"43854"</f>
        <v>43854</v>
      </c>
      <c r="D23" t="str">
        <f>"zultiew"</f>
        <v>zultiew</v>
      </c>
      <c r="E23" t="str">
        <f>"MOHD ZULKIFLI TIEW BIN ABDULLAH"</f>
        <v>MOHD ZULKIFLI TIEW BIN ABDULLAH</v>
      </c>
      <c r="F23" t="str">
        <f>"001140000719"</f>
        <v>001140000719</v>
      </c>
      <c r="G23" t="str">
        <f>"564128801069"</f>
        <v>564128801069</v>
      </c>
      <c r="H23" t="str">
        <f t="shared" si="0"/>
        <v>MYR</v>
      </c>
      <c r="I23" t="str">
        <f t="shared" si="0"/>
        <v>MYR</v>
      </c>
      <c r="J23" t="str">
        <f>"2012-07-25"</f>
        <v>2012-07-25</v>
      </c>
      <c r="K23" t="str">
        <f>"1800.00"</f>
        <v>1800.00</v>
      </c>
      <c r="L23" t="str">
        <f>"1800.00"</f>
        <v>1800.00</v>
      </c>
      <c r="M23" t="str">
        <f>"Monthly Payment"</f>
        <v>Monthly Payment</v>
      </c>
      <c r="N23" t="str">
        <f>"MOHD ZULKIFLI TIEW B"</f>
        <v>MOHD ZULKIFLI TIEW B</v>
      </c>
      <c r="O23" t="str">
        <f>"MAYBANK"</f>
        <v>MAYBANK</v>
      </c>
      <c r="P23" t="str">
        <f>"MBBEMYKL"</f>
        <v>MBBEMYKL</v>
      </c>
      <c r="Q23" t="str">
        <f>"Monthly Payment"</f>
        <v>Monthly Payment</v>
      </c>
      <c r="R23" t="str">
        <f>"mohdzulkiflitiew@gmail.com"</f>
        <v>mohdzulkiflitiew@gmail.com</v>
      </c>
      <c r="S23" t="str">
        <f>"iPAY to MOHD ZULKIFLI TIEW B (MAYBANK: 564128801069) (Ref No: 270114158094)"</f>
        <v>iPAY to MOHD ZULKIFLI TIEW B (MAYBANK: 564128801069) (Ref No: 270114158094)</v>
      </c>
      <c r="T23" t="str">
        <f t="shared" si="1"/>
        <v>2014-01-27</v>
      </c>
      <c r="U23" t="s">
        <v>32</v>
      </c>
      <c r="V23" t="str">
        <f>"Successful"</f>
        <v>Successful</v>
      </c>
      <c r="W23" t="str">
        <f>"270114158094"</f>
        <v>270114158094</v>
      </c>
      <c r="X23" t="str">
        <f>"115.133.181.170"</f>
        <v>115.133.181.170</v>
      </c>
    </row>
    <row r="24" spans="1:24">
      <c r="A24" t="s">
        <v>47</v>
      </c>
      <c r="B24" t="str">
        <f>"27/01/2014 08:18:59"</f>
        <v>27/01/2014 08:18:59</v>
      </c>
      <c r="C24" t="str">
        <f>"10452"</f>
        <v>10452</v>
      </c>
      <c r="D24" t="str">
        <f>"lazenda22"</f>
        <v>lazenda22</v>
      </c>
      <c r="E24" t="str">
        <f>"NORAZILI BIN TIMPAI"</f>
        <v>NORAZILI BIN TIMPAI</v>
      </c>
      <c r="F24" t="str">
        <f>"001102025000"</f>
        <v>001102025000</v>
      </c>
      <c r="G24" t="str">
        <f>"115120069613"</f>
        <v>115120069613</v>
      </c>
      <c r="H24" t="str">
        <f t="shared" si="0"/>
        <v>MYR</v>
      </c>
      <c r="I24" t="str">
        <f t="shared" si="0"/>
        <v>MYR</v>
      </c>
      <c r="J24" t="str">
        <f>"2011-04-07"</f>
        <v>2011-04-07</v>
      </c>
      <c r="K24" t="str">
        <f>"1000.00"</f>
        <v>1000.00</v>
      </c>
      <c r="L24" t="str">
        <f>"1000.00"</f>
        <v>1000.00</v>
      </c>
      <c r="M24" t="str">
        <f>"NIL"</f>
        <v>NIL</v>
      </c>
      <c r="N24" t="str">
        <f>"NORAZILI BIN TIMPAI"</f>
        <v>NORAZILI BIN TIMPAI</v>
      </c>
      <c r="O24" t="str">
        <f>"MAYBANK"</f>
        <v>MAYBANK</v>
      </c>
      <c r="P24" t="str">
        <f>"MBBEMYKL"</f>
        <v>MBBEMYKL</v>
      </c>
      <c r="Q24" t="str">
        <f>"NIL"</f>
        <v>NIL</v>
      </c>
      <c r="R24" t="str">
        <f>"norazili.timpai@kfh.com.my"</f>
        <v>norazili.timpai@kfh.com.my</v>
      </c>
      <c r="S24" t="str">
        <f>"iPAY to NORAZILI BIN TIMPAI (MAYBANK: 115120069613) (Ref No: 270114158090)"</f>
        <v>iPAY to NORAZILI BIN TIMPAI (MAYBANK: 115120069613) (Ref No: 270114158090)</v>
      </c>
      <c r="T24" t="str">
        <f t="shared" si="1"/>
        <v>2014-01-27</v>
      </c>
      <c r="U24" t="s">
        <v>32</v>
      </c>
      <c r="V24" t="str">
        <f>"Successful"</f>
        <v>Successful</v>
      </c>
      <c r="W24" t="str">
        <f>"270114158090"</f>
        <v>270114158090</v>
      </c>
      <c r="X24" t="str">
        <f>"183.171.176.135"</f>
        <v>183.171.176.135</v>
      </c>
    </row>
    <row r="25" spans="1:24">
      <c r="A25" t="s">
        <v>48</v>
      </c>
      <c r="B25" t="str">
        <f>"27/01/2014 08:19:59"</f>
        <v>27/01/2014 08:19:59</v>
      </c>
      <c r="C25" t="str">
        <f>"10452"</f>
        <v>10452</v>
      </c>
      <c r="D25" t="str">
        <f>"lazenda22"</f>
        <v>lazenda22</v>
      </c>
      <c r="E25" t="str">
        <f>"NORAZILI BIN TIMPAI"</f>
        <v>NORAZILI BIN TIMPAI</v>
      </c>
      <c r="F25" t="str">
        <f>"001102025000"</f>
        <v>001102025000</v>
      </c>
      <c r="G25" t="str">
        <f>"15010011091052"</f>
        <v>15010011091052</v>
      </c>
      <c r="H25" t="str">
        <f t="shared" si="0"/>
        <v>MYR</v>
      </c>
      <c r="I25" t="str">
        <f t="shared" si="0"/>
        <v>MYR</v>
      </c>
      <c r="J25" t="str">
        <f>"NIL"</f>
        <v>NIL</v>
      </c>
      <c r="K25" t="str">
        <f>"2000.00"</f>
        <v>2000.00</v>
      </c>
      <c r="L25" t="str">
        <f>"2000.00"</f>
        <v>2000.00</v>
      </c>
      <c r="M25" t="str">
        <f>"NIL"</f>
        <v>NIL</v>
      </c>
      <c r="N25" t="str">
        <f>"NORAZILI BIN"</f>
        <v>NORAZILI BIN</v>
      </c>
      <c r="O25" t="str">
        <f>"CIMB BANK"</f>
        <v>CIMB BANK</v>
      </c>
      <c r="P25" t="str">
        <f>"CIBBMYKL"</f>
        <v>CIBBMYKL</v>
      </c>
      <c r="Q25" t="str">
        <f>"NIL"</f>
        <v>NIL</v>
      </c>
      <c r="R25" t="str">
        <f>"norazili.timpai@kfh.com.my"</f>
        <v>norazili.timpai@kfh.com.my</v>
      </c>
      <c r="S25" t="str">
        <f>"iPAY to NORAZILI BIN (CIMB BANK: 15010011091052)"</f>
        <v>iPAY to NORAZILI BIN (CIMB BANK: 15010011091052)</v>
      </c>
      <c r="T25" t="str">
        <f t="shared" si="1"/>
        <v>2014-01-27</v>
      </c>
      <c r="U25" t="s">
        <v>34</v>
      </c>
      <c r="V25" t="str">
        <f>"System error"</f>
        <v>System error</v>
      </c>
      <c r="W25" t="str">
        <f>"NIL"</f>
        <v>NIL</v>
      </c>
      <c r="X25" t="str">
        <f>"183.171.176.135"</f>
        <v>183.171.176.135</v>
      </c>
    </row>
    <row r="26" spans="1:24">
      <c r="A26" t="s">
        <v>49</v>
      </c>
      <c r="B26" t="str">
        <f>"27/01/2014 08:20:38"</f>
        <v>27/01/2014 08:20:38</v>
      </c>
      <c r="C26" t="str">
        <f>"1457"</f>
        <v>1457</v>
      </c>
      <c r="D26" t="str">
        <f>"mohdtariq"</f>
        <v>mohdtariq</v>
      </c>
      <c r="E26" t="str">
        <f>"MOHD TARIQ AKRAM BIN ZAINAL ABIDIN"</f>
        <v>MOHD TARIQ AKRAM BIN ZAINAL ABIDIN</v>
      </c>
      <c r="F26" t="str">
        <f>"001102006618"</f>
        <v>001102006618</v>
      </c>
      <c r="G26" t="str">
        <f>"14153020190323"</f>
        <v>14153020190323</v>
      </c>
      <c r="H26" t="str">
        <f t="shared" si="0"/>
        <v>MYR</v>
      </c>
      <c r="I26" t="str">
        <f t="shared" si="0"/>
        <v>MYR</v>
      </c>
      <c r="J26" t="str">
        <f>"NIL"</f>
        <v>NIL</v>
      </c>
      <c r="K26" t="str">
        <f>"500.00"</f>
        <v>500.00</v>
      </c>
      <c r="L26" t="str">
        <f>"500.00"</f>
        <v>500.00</v>
      </c>
      <c r="M26" t="str">
        <f>"Loan BIMB Jan 2014"</f>
        <v>Loan BIMB Jan 2014</v>
      </c>
      <c r="N26" t="str">
        <f>"MOHD TARIQ AKRAM BIN ZAINA"</f>
        <v>MOHD TARIQ AKRAM BIN ZAINA</v>
      </c>
      <c r="O26" t="str">
        <f>"BANK ISLAM MALAYSIA BHD"</f>
        <v>BANK ISLAM MALAYSIA BHD</v>
      </c>
      <c r="P26" t="str">
        <f>"BIMBMYKL"</f>
        <v>BIMBMYKL</v>
      </c>
      <c r="Q26" t="str">
        <f>"270120131"</f>
        <v>270120131</v>
      </c>
      <c r="R26" t="str">
        <f>"riqmel@gmail.com"</f>
        <v>riqmel@gmail.com</v>
      </c>
      <c r="S26" t="str">
        <f>"iPAY to MOHD TARIQ AKRAM BIN ZAINA (BANK ISLAM MALAYSIA BHD: 14153020190323)"</f>
        <v>iPAY to MOHD TARIQ AKRAM BIN ZAINA (BANK ISLAM MALAYSIA BHD: 14153020190323)</v>
      </c>
      <c r="T26" t="str">
        <f t="shared" si="1"/>
        <v>2014-01-27</v>
      </c>
      <c r="U26" t="s">
        <v>34</v>
      </c>
      <c r="V26" t="str">
        <f>"System error"</f>
        <v>System error</v>
      </c>
      <c r="W26" t="str">
        <f>"NIL"</f>
        <v>NIL</v>
      </c>
      <c r="X26" t="str">
        <f>"219.93.33.173"</f>
        <v>219.93.33.173</v>
      </c>
    </row>
    <row r="27" spans="1:24">
      <c r="A27" t="s">
        <v>50</v>
      </c>
      <c r="B27" t="str">
        <f>"27/01/2014 08:21:09"</f>
        <v>27/01/2014 08:21:09</v>
      </c>
      <c r="C27" t="str">
        <f>"10452"</f>
        <v>10452</v>
      </c>
      <c r="D27" t="str">
        <f>"lazenda22"</f>
        <v>lazenda22</v>
      </c>
      <c r="E27" t="str">
        <f>"NORAZILI BIN TIMPAI"</f>
        <v>NORAZILI BIN TIMPAI</v>
      </c>
      <c r="F27" t="str">
        <f>"001102025000"</f>
        <v>001102025000</v>
      </c>
      <c r="G27" t="str">
        <f>"160090276933"</f>
        <v>160090276933</v>
      </c>
      <c r="H27" t="str">
        <f t="shared" si="0"/>
        <v>MYR</v>
      </c>
      <c r="I27" t="str">
        <f t="shared" si="0"/>
        <v>MYR</v>
      </c>
      <c r="J27" t="str">
        <f>"NIL"</f>
        <v>NIL</v>
      </c>
      <c r="K27" t="str">
        <f>"400.00"</f>
        <v>400.00</v>
      </c>
      <c r="L27" t="str">
        <f>"400.00"</f>
        <v>400.00</v>
      </c>
      <c r="M27" t="str">
        <f>"NIL"</f>
        <v>NIL</v>
      </c>
      <c r="N27" t="str">
        <f>"NORHAYTI@NORHAYATI B"</f>
        <v>NORHAYTI@NORHAYATI B</v>
      </c>
      <c r="O27" t="str">
        <f>"MAYBANK"</f>
        <v>MAYBANK</v>
      </c>
      <c r="P27" t="str">
        <f>"MBBEMYKL"</f>
        <v>MBBEMYKL</v>
      </c>
      <c r="Q27" t="str">
        <f>"NIL"</f>
        <v>NIL</v>
      </c>
      <c r="R27" t="str">
        <f>"NIL"</f>
        <v>NIL</v>
      </c>
      <c r="S27" t="str">
        <f>"iPAY to NORHAYTI@NORHAYATI B (MAYBANK: 160090276933)"</f>
        <v>iPAY to NORHAYTI@NORHAYATI B (MAYBANK: 160090276933)</v>
      </c>
      <c r="T27" t="str">
        <f t="shared" si="1"/>
        <v>2014-01-27</v>
      </c>
      <c r="U27" t="s">
        <v>34</v>
      </c>
      <c r="V27" t="str">
        <f>"System error"</f>
        <v>System error</v>
      </c>
      <c r="W27" t="str">
        <f>"NIL"</f>
        <v>NIL</v>
      </c>
      <c r="X27" t="str">
        <f>"183.171.176.135"</f>
        <v>183.171.176.135</v>
      </c>
    </row>
    <row r="28" spans="1:24">
      <c r="A28" t="s">
        <v>51</v>
      </c>
      <c r="B28" t="str">
        <f>"27/01/2014 08:23:09"</f>
        <v>27/01/2014 08:23:09</v>
      </c>
      <c r="C28" t="str">
        <f>"10452"</f>
        <v>10452</v>
      </c>
      <c r="D28" t="str">
        <f>"lazenda22"</f>
        <v>lazenda22</v>
      </c>
      <c r="E28" t="str">
        <f>"NORAZILI BIN TIMPAI"</f>
        <v>NORAZILI BIN TIMPAI</v>
      </c>
      <c r="F28" t="str">
        <f>"001102025000"</f>
        <v>001102025000</v>
      </c>
      <c r="G28" t="str">
        <f>"160090276933"</f>
        <v>160090276933</v>
      </c>
      <c r="H28" t="str">
        <f t="shared" si="0"/>
        <v>MYR</v>
      </c>
      <c r="I28" t="str">
        <f t="shared" si="0"/>
        <v>MYR</v>
      </c>
      <c r="J28" t="str">
        <f>"2011-04-07"</f>
        <v>2011-04-07</v>
      </c>
      <c r="K28" t="str">
        <f>"400.00"</f>
        <v>400.00</v>
      </c>
      <c r="L28" t="str">
        <f>"400.00"</f>
        <v>400.00</v>
      </c>
      <c r="M28" t="str">
        <f>"NIL"</f>
        <v>NIL</v>
      </c>
      <c r="N28" t="str">
        <f>"NORHAYTI@NORHAYATI B"</f>
        <v>NORHAYTI@NORHAYATI B</v>
      </c>
      <c r="O28" t="str">
        <f>"MAYBANK"</f>
        <v>MAYBANK</v>
      </c>
      <c r="P28" t="str">
        <f>"MBBEMYKL"</f>
        <v>MBBEMYKL</v>
      </c>
      <c r="Q28" t="str">
        <f>"NIL"</f>
        <v>NIL</v>
      </c>
      <c r="R28" t="str">
        <f>"NIL"</f>
        <v>NIL</v>
      </c>
      <c r="S28" t="str">
        <f>"iPAY to NORHAYTI@NORHAYATI B (MAYBANK: 160090276933) (Ref No: 270114158098)"</f>
        <v>iPAY to NORHAYTI@NORHAYATI B (MAYBANK: 160090276933) (Ref No: 270114158098)</v>
      </c>
      <c r="T28" t="str">
        <f t="shared" si="1"/>
        <v>2014-01-27</v>
      </c>
      <c r="U28" t="s">
        <v>32</v>
      </c>
      <c r="V28" t="str">
        <f>"Successful"</f>
        <v>Successful</v>
      </c>
      <c r="W28" t="str">
        <f>"270114158098"</f>
        <v>270114158098</v>
      </c>
      <c r="X28" t="str">
        <f>"183.171.176.135"</f>
        <v>183.171.176.135</v>
      </c>
    </row>
    <row r="29" spans="1:24">
      <c r="A29" t="s">
        <v>52</v>
      </c>
      <c r="B29" t="str">
        <f>"27/01/2014 08:23:58"</f>
        <v>27/01/2014 08:23:58</v>
      </c>
      <c r="C29" t="str">
        <f>"10452"</f>
        <v>10452</v>
      </c>
      <c r="D29" t="str">
        <f>"lazenda22"</f>
        <v>lazenda22</v>
      </c>
      <c r="E29" t="str">
        <f>"NORAZILI BIN TIMPAI"</f>
        <v>NORAZILI BIN TIMPAI</v>
      </c>
      <c r="F29" t="str">
        <f>"001102025000"</f>
        <v>001102025000</v>
      </c>
      <c r="G29" t="str">
        <f>"15010011091052"</f>
        <v>15010011091052</v>
      </c>
      <c r="H29" t="str">
        <f t="shared" si="0"/>
        <v>MYR</v>
      </c>
      <c r="I29" t="str">
        <f t="shared" si="0"/>
        <v>MYR</v>
      </c>
      <c r="J29" t="str">
        <f>"2011-04-07"</f>
        <v>2011-04-07</v>
      </c>
      <c r="K29" t="str">
        <f>"2000.00"</f>
        <v>2000.00</v>
      </c>
      <c r="L29" t="str">
        <f>"2000.00"</f>
        <v>2000.00</v>
      </c>
      <c r="M29" t="str">
        <f>"NIL"</f>
        <v>NIL</v>
      </c>
      <c r="N29" t="str">
        <f>"NORAZILI BIN"</f>
        <v>NORAZILI BIN</v>
      </c>
      <c r="O29" t="str">
        <f>"CIMB BANK"</f>
        <v>CIMB BANK</v>
      </c>
      <c r="P29" t="str">
        <f>"CIBBMYKL"</f>
        <v>CIBBMYKL</v>
      </c>
      <c r="Q29" t="str">
        <f t="shared" ref="Q29:Q34" si="3">"NIL"</f>
        <v>NIL</v>
      </c>
      <c r="R29" t="str">
        <f>"norazili.timpai@kfh.com.my"</f>
        <v>norazili.timpai@kfh.com.my</v>
      </c>
      <c r="S29" t="str">
        <f>"iPAY to NORAZILI BIN (CIMB BANK: 15010011091052) (Ref No: 270114158102)"</f>
        <v>iPAY to NORAZILI BIN (CIMB BANK: 15010011091052) (Ref No: 270114158102)</v>
      </c>
      <c r="T29" t="str">
        <f t="shared" si="1"/>
        <v>2014-01-27</v>
      </c>
      <c r="U29" t="s">
        <v>32</v>
      </c>
      <c r="V29" t="str">
        <f>"Successful"</f>
        <v>Successful</v>
      </c>
      <c r="W29" t="str">
        <f>"270114158102"</f>
        <v>270114158102</v>
      </c>
      <c r="X29" t="str">
        <f>"183.171.176.135"</f>
        <v>183.171.176.135</v>
      </c>
    </row>
    <row r="30" spans="1:24">
      <c r="A30" t="s">
        <v>53</v>
      </c>
      <c r="B30" t="str">
        <f>"27/01/2014 08:26:31"</f>
        <v>27/01/2014 08:26:31</v>
      </c>
      <c r="C30" t="str">
        <f>"5278"</f>
        <v>5278</v>
      </c>
      <c r="D30" t="str">
        <f>"bernardtan1901"</f>
        <v>bernardtan1901</v>
      </c>
      <c r="E30" t="str">
        <f>"BERNARD TAN BOON KEAT"</f>
        <v>BERNARD TAN BOON KEAT</v>
      </c>
      <c r="F30" t="str">
        <f>"004102005919"</f>
        <v>004102005919</v>
      </c>
      <c r="G30" t="str">
        <f>"1633030303"</f>
        <v>1633030303</v>
      </c>
      <c r="H30" t="str">
        <f t="shared" ref="H30:I49" si="4">"MYR"</f>
        <v>MYR</v>
      </c>
      <c r="I30" t="str">
        <f t="shared" si="4"/>
        <v>MYR</v>
      </c>
      <c r="J30" t="str">
        <f>"NIL"</f>
        <v>NIL</v>
      </c>
      <c r="K30" t="str">
        <f>"1044.00"</f>
        <v>1044.00</v>
      </c>
      <c r="L30" t="str">
        <f>"1044.00"</f>
        <v>1044.00</v>
      </c>
      <c r="M30" t="str">
        <f>"NIL"</f>
        <v>NIL</v>
      </c>
      <c r="N30" t="str">
        <f>"BERNARD TAN BOON KEAT"</f>
        <v>BERNARD TAN BOON KEAT</v>
      </c>
      <c r="O30" t="str">
        <f>"UNITED OVERSEAS BANK"</f>
        <v>UNITED OVERSEAS BANK</v>
      </c>
      <c r="P30" t="str">
        <f>"UOVBMYKL"</f>
        <v>UOVBMYKL</v>
      </c>
      <c r="Q30" t="str">
        <f t="shared" si="3"/>
        <v>NIL</v>
      </c>
      <c r="R30" t="str">
        <f>"bernardtan1901@gmail.com"</f>
        <v>bernardtan1901@gmail.com</v>
      </c>
      <c r="S30" t="str">
        <f>"iPAY to BERNARD TAN BOON KEAT (UNITED OVERSEAS BANK: 1633030303)"</f>
        <v>iPAY to BERNARD TAN BOON KEAT (UNITED OVERSEAS BANK: 1633030303)</v>
      </c>
      <c r="T30" t="str">
        <f t="shared" si="1"/>
        <v>2014-01-27</v>
      </c>
      <c r="U30" t="s">
        <v>34</v>
      </c>
      <c r="V30" t="str">
        <f>"System error"</f>
        <v>System error</v>
      </c>
      <c r="W30" t="str">
        <f>"NIL"</f>
        <v>NIL</v>
      </c>
      <c r="X30" t="str">
        <f t="shared" ref="X30:X37" si="5">"219.93.33.173"</f>
        <v>219.93.33.173</v>
      </c>
    </row>
    <row r="31" spans="1:24">
      <c r="A31" t="s">
        <v>54</v>
      </c>
      <c r="B31" t="str">
        <f>"27/01/2014 08:29:38"</f>
        <v>27/01/2014 08:29:38</v>
      </c>
      <c r="C31" t="str">
        <f>"12738"</f>
        <v>12738</v>
      </c>
      <c r="D31" t="str">
        <f>"fadzilah11"</f>
        <v>fadzilah11</v>
      </c>
      <c r="E31" t="str">
        <f>"FADZILAH BINTI MOHD YUSOP"</f>
        <v>FADZILAH BINTI MOHD YUSOP</v>
      </c>
      <c r="F31" t="str">
        <f>"001103004689"</f>
        <v>001103004689</v>
      </c>
      <c r="G31" t="str">
        <f>"620750180465"</f>
        <v>620750180465</v>
      </c>
      <c r="H31" t="str">
        <f t="shared" si="4"/>
        <v>MYR</v>
      </c>
      <c r="I31" t="str">
        <f t="shared" si="4"/>
        <v>MYR</v>
      </c>
      <c r="J31" t="str">
        <f>"2011-06-13"</f>
        <v>2011-06-13</v>
      </c>
      <c r="K31" t="str">
        <f>"393.00"</f>
        <v>393.00</v>
      </c>
      <c r="L31" t="str">
        <f>"393.00"</f>
        <v>393.00</v>
      </c>
      <c r="M31" t="str">
        <f>"NIL"</f>
        <v>NIL</v>
      </c>
      <c r="N31" t="str">
        <f>"FADZILAH BINTI MOHD YUSOP"</f>
        <v>FADZILAH BINTI MOHD YUSOP</v>
      </c>
      <c r="O31" t="str">
        <f>"BANK RAKYAT"</f>
        <v>BANK RAKYAT</v>
      </c>
      <c r="P31" t="str">
        <f>"BKRMMYK1"</f>
        <v>BKRMMYK1</v>
      </c>
      <c r="Q31" t="str">
        <f t="shared" si="3"/>
        <v>NIL</v>
      </c>
      <c r="R31" t="str">
        <f>"fadzilah.yusop@kfh.com.my"</f>
        <v>fadzilah.yusop@kfh.com.my</v>
      </c>
      <c r="S31" t="str">
        <f>"iPAY to FADZILAH BINTI MOHD YUSOP (BANK RAKYAT: 620750180465) (Ref No: 270114158106)"</f>
        <v>iPAY to FADZILAH BINTI MOHD YUSOP (BANK RAKYAT: 620750180465) (Ref No: 270114158106)</v>
      </c>
      <c r="T31" t="str">
        <f t="shared" si="1"/>
        <v>2014-01-27</v>
      </c>
      <c r="U31" t="s">
        <v>32</v>
      </c>
      <c r="V31" t="str">
        <f t="shared" ref="V31:V36" si="6">"Successful"</f>
        <v>Successful</v>
      </c>
      <c r="W31" t="str">
        <f>"270114158106"</f>
        <v>270114158106</v>
      </c>
      <c r="X31" t="str">
        <f t="shared" si="5"/>
        <v>219.93.33.173</v>
      </c>
    </row>
    <row r="32" spans="1:24">
      <c r="A32" t="s">
        <v>55</v>
      </c>
      <c r="B32" t="str">
        <f>"27/01/2014 08:30:22"</f>
        <v>27/01/2014 08:30:22</v>
      </c>
      <c r="C32" t="str">
        <f>"42111"</f>
        <v>42111</v>
      </c>
      <c r="D32" t="str">
        <f>"fathiah89"</f>
        <v>fathiah89</v>
      </c>
      <c r="E32" t="str">
        <f>"NURUL FATHIAH HANI BINTI RAHIM"</f>
        <v>NURUL FATHIAH HANI BINTI RAHIM</v>
      </c>
      <c r="F32" t="str">
        <f>"001103017977"</f>
        <v>001103017977</v>
      </c>
      <c r="G32" t="str">
        <f>"01080031574524"</f>
        <v>01080031574524</v>
      </c>
      <c r="H32" t="str">
        <f t="shared" si="4"/>
        <v>MYR</v>
      </c>
      <c r="I32" t="str">
        <f t="shared" si="4"/>
        <v>MYR</v>
      </c>
      <c r="J32" t="str">
        <f>"2012-06-15"</f>
        <v>2012-06-15</v>
      </c>
      <c r="K32" t="str">
        <f>"86.00"</f>
        <v>86.00</v>
      </c>
      <c r="L32" t="str">
        <f>"86.00"</f>
        <v>86.00</v>
      </c>
      <c r="M32" t="str">
        <f>"aurora derma"</f>
        <v>aurora derma</v>
      </c>
      <c r="N32" t="str">
        <f>"NUR LAILY"</f>
        <v>NUR LAILY</v>
      </c>
      <c r="O32" t="str">
        <f>"CIMB BANK"</f>
        <v>CIMB BANK</v>
      </c>
      <c r="P32" t="str">
        <f>"CIBBMYKL"</f>
        <v>CIBBMYKL</v>
      </c>
      <c r="Q32" t="str">
        <f t="shared" si="3"/>
        <v>NIL</v>
      </c>
      <c r="R32" t="str">
        <f>"perfumehouselilylola@gmail.com"</f>
        <v>perfumehouselilylola@gmail.com</v>
      </c>
      <c r="S32" t="str">
        <f>"iPAY to NUR LAILY (CIMB BANK: 01080031574524) (Ref No: 270114158110)"</f>
        <v>iPAY to NUR LAILY (CIMB BANK: 01080031574524) (Ref No: 270114158110)</v>
      </c>
      <c r="T32" t="str">
        <f t="shared" si="1"/>
        <v>2014-01-27</v>
      </c>
      <c r="U32" t="s">
        <v>32</v>
      </c>
      <c r="V32" t="str">
        <f t="shared" si="6"/>
        <v>Successful</v>
      </c>
      <c r="W32" t="str">
        <f>"270114158110"</f>
        <v>270114158110</v>
      </c>
      <c r="X32" t="str">
        <f t="shared" si="5"/>
        <v>219.93.33.173</v>
      </c>
    </row>
    <row r="33" spans="1:24">
      <c r="A33" t="s">
        <v>56</v>
      </c>
      <c r="B33" t="str">
        <f>"27/01/2014 08:33:20"</f>
        <v>27/01/2014 08:33:20</v>
      </c>
      <c r="C33" t="str">
        <f>"24911"</f>
        <v>24911</v>
      </c>
      <c r="D33" t="str">
        <f>"hidayah"</f>
        <v>hidayah</v>
      </c>
      <c r="E33" t="str">
        <f>"NUR HIDAYAH EVA BINTI ADAMANT"</f>
        <v>NUR HIDAYAH EVA BINTI ADAMANT</v>
      </c>
      <c r="F33" t="str">
        <f>"001103013173"</f>
        <v>001103013173</v>
      </c>
      <c r="G33" t="str">
        <f>"12270011272525"</f>
        <v>12270011272525</v>
      </c>
      <c r="H33" t="str">
        <f t="shared" si="4"/>
        <v>MYR</v>
      </c>
      <c r="I33" t="str">
        <f t="shared" si="4"/>
        <v>MYR</v>
      </c>
      <c r="J33" t="str">
        <f>"2011-10-17"</f>
        <v>2011-10-17</v>
      </c>
      <c r="K33" t="str">
        <f>"50.00"</f>
        <v>50.00</v>
      </c>
      <c r="L33" t="str">
        <f>"50.00"</f>
        <v>50.00</v>
      </c>
      <c r="M33" t="str">
        <f>"NIL"</f>
        <v>NIL</v>
      </c>
      <c r="N33" t="str">
        <f>"EVA FEDDILLIA"</f>
        <v>EVA FEDDILLIA</v>
      </c>
      <c r="O33" t="str">
        <f>"CIMB BANK"</f>
        <v>CIMB BANK</v>
      </c>
      <c r="P33" t="str">
        <f>"CIBBMYKL"</f>
        <v>CIBBMYKL</v>
      </c>
      <c r="Q33" t="str">
        <f t="shared" si="3"/>
        <v>NIL</v>
      </c>
      <c r="R33" t="str">
        <f>"adamantfeddillia@yahoo.com"</f>
        <v>adamantfeddillia@yahoo.com</v>
      </c>
      <c r="S33" t="str">
        <f>"iPAY to EVA FEDDILLIA (CIMB BANK: 12270011272525) (Ref No: 270114158111)"</f>
        <v>iPAY to EVA FEDDILLIA (CIMB BANK: 12270011272525) (Ref No: 270114158111)</v>
      </c>
      <c r="T33" t="str">
        <f t="shared" si="1"/>
        <v>2014-01-27</v>
      </c>
      <c r="U33" t="s">
        <v>32</v>
      </c>
      <c r="V33" t="str">
        <f t="shared" si="6"/>
        <v>Successful</v>
      </c>
      <c r="W33" t="str">
        <f>"270114158111"</f>
        <v>270114158111</v>
      </c>
      <c r="X33" t="str">
        <f t="shared" si="5"/>
        <v>219.93.33.173</v>
      </c>
    </row>
    <row r="34" spans="1:24">
      <c r="A34" t="s">
        <v>57</v>
      </c>
      <c r="B34" t="str">
        <f>"27/01/2014 08:35:12"</f>
        <v>27/01/2014 08:35:12</v>
      </c>
      <c r="C34" t="str">
        <f>"12738"</f>
        <v>12738</v>
      </c>
      <c r="D34" t="str">
        <f>"fadzilah11"</f>
        <v>fadzilah11</v>
      </c>
      <c r="E34" t="str">
        <f>"FADZILAH BINTI MOHD YUSOP"</f>
        <v>FADZILAH BINTI MOHD YUSOP</v>
      </c>
      <c r="F34" t="str">
        <f>"001103004689"</f>
        <v>001103004689</v>
      </c>
      <c r="G34" t="str">
        <f>"31250066398"</f>
        <v>31250066398</v>
      </c>
      <c r="H34" t="str">
        <f t="shared" si="4"/>
        <v>MYR</v>
      </c>
      <c r="I34" t="str">
        <f t="shared" si="4"/>
        <v>MYR</v>
      </c>
      <c r="J34" t="str">
        <f>"2011-06-13"</f>
        <v>2011-06-13</v>
      </c>
      <c r="K34" t="str">
        <f>"600.00"</f>
        <v>600.00</v>
      </c>
      <c r="L34" t="str">
        <f>"600.00"</f>
        <v>600.00</v>
      </c>
      <c r="M34" t="str">
        <f>"NIL"</f>
        <v>NIL</v>
      </c>
      <c r="N34" t="str">
        <f>"FADZILAH BINTI MOHD"</f>
        <v>FADZILAH BINTI MOHD</v>
      </c>
      <c r="O34" t="str">
        <f>"HONG LEONG BANK"</f>
        <v>HONG LEONG BANK</v>
      </c>
      <c r="P34" t="str">
        <f>"HLBBMYKL"</f>
        <v>HLBBMYKL</v>
      </c>
      <c r="Q34" t="str">
        <f t="shared" si="3"/>
        <v>NIL</v>
      </c>
      <c r="R34" t="str">
        <f>"fadzilah.yusop@kfh.com.my"</f>
        <v>fadzilah.yusop@kfh.com.my</v>
      </c>
      <c r="S34" t="str">
        <f>"iPAY to FADZILAH BINTI MOHD (HONG LEONG BANK: 31250066398) (Ref No: 270114158114)"</f>
        <v>iPAY to FADZILAH BINTI MOHD (HONG LEONG BANK: 31250066398) (Ref No: 270114158114)</v>
      </c>
      <c r="T34" t="str">
        <f t="shared" si="1"/>
        <v>2014-01-27</v>
      </c>
      <c r="U34" t="s">
        <v>32</v>
      </c>
      <c r="V34" t="str">
        <f t="shared" si="6"/>
        <v>Successful</v>
      </c>
      <c r="W34" t="str">
        <f>"270114158114"</f>
        <v>270114158114</v>
      </c>
      <c r="X34" t="str">
        <f t="shared" si="5"/>
        <v>219.93.33.173</v>
      </c>
    </row>
    <row r="35" spans="1:24">
      <c r="A35" t="s">
        <v>58</v>
      </c>
      <c r="B35" t="str">
        <f>"27/01/2014 08:44:50"</f>
        <v>27/01/2014 08:44:50</v>
      </c>
      <c r="C35" t="str">
        <f>"35061"</f>
        <v>35061</v>
      </c>
      <c r="D35" t="str">
        <f>"nikazrihakim"</f>
        <v>nikazrihakim</v>
      </c>
      <c r="E35" t="str">
        <f>"NIK AZRI HAKIM BIN NIK HUSSEIN"</f>
        <v>NIK AZRI HAKIM BIN NIK HUSSEIN</v>
      </c>
      <c r="F35" t="str">
        <f>"001102031752"</f>
        <v>001102031752</v>
      </c>
      <c r="G35" t="str">
        <f>"11245760009360"</f>
        <v>11245760009360</v>
      </c>
      <c r="H35" t="str">
        <f t="shared" si="4"/>
        <v>MYR</v>
      </c>
      <c r="I35" t="str">
        <f t="shared" si="4"/>
        <v>MYR</v>
      </c>
      <c r="J35" t="str">
        <f>"2012-01-09"</f>
        <v>2012-01-09</v>
      </c>
      <c r="K35" t="str">
        <f>"1207.00"</f>
        <v>1207.00</v>
      </c>
      <c r="L35" t="str">
        <f>"1207.00"</f>
        <v>1207.00</v>
      </c>
      <c r="M35" t="str">
        <f>"cc"</f>
        <v>cc</v>
      </c>
      <c r="N35" t="str">
        <f>"NIK AZRI HAKI"</f>
        <v>NIK AZRI HAKI</v>
      </c>
      <c r="O35" t="str">
        <f>"RHB BANK"</f>
        <v>RHB BANK</v>
      </c>
      <c r="P35" t="str">
        <f>"RHBBMYKL"</f>
        <v>RHBBMYKL</v>
      </c>
      <c r="Q35" t="str">
        <f>"27012014"</f>
        <v>27012014</v>
      </c>
      <c r="R35" t="str">
        <f>"akim_j3@yahoo.com.sg"</f>
        <v>akim_j3@yahoo.com.sg</v>
      </c>
      <c r="S35" t="str">
        <f>"iPAY to NIK AZRI HAKI (RHB BANK: 11245760009360) (Ref No: 270114158118)"</f>
        <v>iPAY to NIK AZRI HAKI (RHB BANK: 11245760009360) (Ref No: 270114158118)</v>
      </c>
      <c r="T35" t="str">
        <f t="shared" si="1"/>
        <v>2014-01-27</v>
      </c>
      <c r="U35" t="s">
        <v>32</v>
      </c>
      <c r="V35" t="str">
        <f t="shared" si="6"/>
        <v>Successful</v>
      </c>
      <c r="W35" t="str">
        <f>"270114158118"</f>
        <v>270114158118</v>
      </c>
      <c r="X35" t="str">
        <f t="shared" si="5"/>
        <v>219.93.33.173</v>
      </c>
    </row>
    <row r="36" spans="1:24">
      <c r="A36" t="s">
        <v>59</v>
      </c>
      <c r="B36" t="str">
        <f>"27/01/2014 08:44:57"</f>
        <v>27/01/2014 08:44:57</v>
      </c>
      <c r="C36" t="str">
        <f>"31456"</f>
        <v>31456</v>
      </c>
      <c r="D36" t="str">
        <f>"eylia69"</f>
        <v>eylia69</v>
      </c>
      <c r="E36" t="str">
        <f>"EYLIA BINTI MISWAN"</f>
        <v>EYLIA BINTI MISWAN</v>
      </c>
      <c r="F36" t="str">
        <f>"001102030527"</f>
        <v>001102030527</v>
      </c>
      <c r="G36" t="str">
        <f>"162450197743"</f>
        <v>162450197743</v>
      </c>
      <c r="H36" t="str">
        <f t="shared" si="4"/>
        <v>MYR</v>
      </c>
      <c r="I36" t="str">
        <f t="shared" si="4"/>
        <v>MYR</v>
      </c>
      <c r="J36" t="str">
        <f>"2011-12-05"</f>
        <v>2011-12-05</v>
      </c>
      <c r="K36" t="str">
        <f>"39.00"</f>
        <v>39.00</v>
      </c>
      <c r="L36" t="str">
        <f>"39.00"</f>
        <v>39.00</v>
      </c>
      <c r="M36" t="str">
        <f>"Vitagen"</f>
        <v>Vitagen</v>
      </c>
      <c r="N36" t="str">
        <f>"EZAWATI FAZILA BINTI"</f>
        <v>EZAWATI FAZILA BINTI</v>
      </c>
      <c r="O36" t="str">
        <f>"MAYBANK"</f>
        <v>MAYBANK</v>
      </c>
      <c r="P36" t="str">
        <f>"MBBEMYKL"</f>
        <v>MBBEMYKL</v>
      </c>
      <c r="Q36" t="str">
        <f>"0122341985"</f>
        <v>0122341985</v>
      </c>
      <c r="R36" t="str">
        <f>"lea_eylia@yahoo.com"</f>
        <v>lea_eylia@yahoo.com</v>
      </c>
      <c r="S36" t="str">
        <f>"iPAY to EZAWATI FAZILA BINTI (MAYBANK: 162450197743) (Ref No: 270114158119)"</f>
        <v>iPAY to EZAWATI FAZILA BINTI (MAYBANK: 162450197743) (Ref No: 270114158119)</v>
      </c>
      <c r="T36" t="str">
        <f t="shared" si="1"/>
        <v>2014-01-27</v>
      </c>
      <c r="U36" t="s">
        <v>32</v>
      </c>
      <c r="V36" t="str">
        <f t="shared" si="6"/>
        <v>Successful</v>
      </c>
      <c r="W36" t="str">
        <f>"270114158119"</f>
        <v>270114158119</v>
      </c>
      <c r="X36" t="str">
        <f t="shared" si="5"/>
        <v>219.93.33.173</v>
      </c>
    </row>
    <row r="37" spans="1:24">
      <c r="A37" t="s">
        <v>60</v>
      </c>
      <c r="B37" t="str">
        <f>"27/01/2014 08:45:40"</f>
        <v>27/01/2014 08:45:40</v>
      </c>
      <c r="C37" t="str">
        <f>"33536"</f>
        <v>33536</v>
      </c>
      <c r="D37" t="str">
        <f>"JFSH70"</f>
        <v>JFSH70</v>
      </c>
      <c r="E37" t="str">
        <f>"FOONG SWEE HUN"</f>
        <v>FOONG SWEE HUN</v>
      </c>
      <c r="F37" t="str">
        <f>"001102031086"</f>
        <v>001102031086</v>
      </c>
      <c r="G37" t="str">
        <f>"4506180039331385"</f>
        <v>4506180039331385</v>
      </c>
      <c r="H37" t="str">
        <f t="shared" si="4"/>
        <v>MYR</v>
      </c>
      <c r="I37" t="str">
        <f t="shared" si="4"/>
        <v>MYR</v>
      </c>
      <c r="J37" t="str">
        <f>"NIL"</f>
        <v>NIL</v>
      </c>
      <c r="K37" t="str">
        <f>"459.05"</f>
        <v>459.05</v>
      </c>
      <c r="L37" t="str">
        <f>"459.05"</f>
        <v>459.05</v>
      </c>
      <c r="M37" t="str">
        <f>"NIL"</f>
        <v>NIL</v>
      </c>
      <c r="N37" t="str">
        <f>"FOONG SWEE HUN"</f>
        <v>FOONG SWEE HUN</v>
      </c>
      <c r="O37" t="str">
        <f>"MAYBANK"</f>
        <v>MAYBANK</v>
      </c>
      <c r="P37" t="str">
        <f>"MBBEMYKL"</f>
        <v>MBBEMYKL</v>
      </c>
      <c r="Q37" t="str">
        <f>"NIL"</f>
        <v>NIL</v>
      </c>
      <c r="R37" t="str">
        <f>"NIL"</f>
        <v>NIL</v>
      </c>
      <c r="S37" t="str">
        <f>"iPAY to FOONG SWEE HUN (MAYBANK: 4506180039331385)"</f>
        <v>iPAY to FOONG SWEE HUN (MAYBANK: 4506180039331385)</v>
      </c>
      <c r="T37" t="str">
        <f t="shared" si="1"/>
        <v>2014-01-27</v>
      </c>
      <c r="U37" t="s">
        <v>34</v>
      </c>
      <c r="V37" t="str">
        <f>"System error"</f>
        <v>System error</v>
      </c>
      <c r="W37" t="str">
        <f>"NIL"</f>
        <v>NIL</v>
      </c>
      <c r="X37" t="str">
        <f t="shared" si="5"/>
        <v>219.93.33.173</v>
      </c>
    </row>
    <row r="38" spans="1:24">
      <c r="A38" t="s">
        <v>61</v>
      </c>
      <c r="B38" t="str">
        <f>"27/01/2014 08:47:52"</f>
        <v>27/01/2014 08:47:52</v>
      </c>
      <c r="C38" t="str">
        <f>"10307"</f>
        <v>10307</v>
      </c>
      <c r="D38" t="str">
        <f>"khalidsufat"</f>
        <v>khalidsufat</v>
      </c>
      <c r="E38" t="str">
        <f>"KHALID BIN SUFAT"</f>
        <v>KHALID BIN SUFAT</v>
      </c>
      <c r="F38" t="str">
        <f>"001102024632"</f>
        <v>001102024632</v>
      </c>
      <c r="G38" t="str">
        <f>"514356200246"</f>
        <v>514356200246</v>
      </c>
      <c r="H38" t="str">
        <f t="shared" si="4"/>
        <v>MYR</v>
      </c>
      <c r="I38" t="str">
        <f t="shared" si="4"/>
        <v>MYR</v>
      </c>
      <c r="J38" t="str">
        <f>"2011-04-04"</f>
        <v>2011-04-04</v>
      </c>
      <c r="K38" t="str">
        <f>"5000.00"</f>
        <v>5000.00</v>
      </c>
      <c r="L38" t="str">
        <f>"5000.00"</f>
        <v>5000.00</v>
      </c>
      <c r="M38" t="str">
        <f>"NIL"</f>
        <v>NIL</v>
      </c>
      <c r="N38" t="str">
        <f>"KHALID BIN SUFAT"</f>
        <v>KHALID BIN SUFAT</v>
      </c>
      <c r="O38" t="str">
        <f>"MAYBANK"</f>
        <v>MAYBANK</v>
      </c>
      <c r="P38" t="str">
        <f>"MBBEMYKL"</f>
        <v>MBBEMYKL</v>
      </c>
      <c r="Q38" t="str">
        <f>"NIL"</f>
        <v>NIL</v>
      </c>
      <c r="R38" t="str">
        <f>"khalid_sufat@hotmail.com"</f>
        <v>khalid_sufat@hotmail.com</v>
      </c>
      <c r="S38" t="str">
        <f>"iPAY to KHALID BIN SUFAT (MAYBANK: 514356200246) (Ref No: 270114158123)"</f>
        <v>iPAY to KHALID BIN SUFAT (MAYBANK: 514356200246) (Ref No: 270114158123)</v>
      </c>
      <c r="T38" t="str">
        <f t="shared" si="1"/>
        <v>2014-01-27</v>
      </c>
      <c r="U38" t="s">
        <v>32</v>
      </c>
      <c r="V38" t="str">
        <f t="shared" ref="V38:V46" si="7">"Successful"</f>
        <v>Successful</v>
      </c>
      <c r="W38" t="str">
        <f>"270114158123"</f>
        <v>270114158123</v>
      </c>
      <c r="X38" t="str">
        <f>"115.133.242.144"</f>
        <v>115.133.242.144</v>
      </c>
    </row>
    <row r="39" spans="1:24">
      <c r="A39" t="s">
        <v>62</v>
      </c>
      <c r="B39" t="str">
        <f>"27/01/2014 08:49:20"</f>
        <v>27/01/2014 08:49:20</v>
      </c>
      <c r="C39" t="str">
        <f>"35061"</f>
        <v>35061</v>
      </c>
      <c r="D39" t="str">
        <f>"nikazrihakim"</f>
        <v>nikazrihakim</v>
      </c>
      <c r="E39" t="str">
        <f>"NIK AZRI HAKIM BIN NIK HUSSEIN"</f>
        <v>NIK AZRI HAKIM BIN NIK HUSSEIN</v>
      </c>
      <c r="F39" t="str">
        <f>"001102031752"</f>
        <v>001102031752</v>
      </c>
      <c r="G39" t="str">
        <f>"112269027449"</f>
        <v>112269027449</v>
      </c>
      <c r="H39" t="str">
        <f t="shared" si="4"/>
        <v>MYR</v>
      </c>
      <c r="I39" t="str">
        <f t="shared" si="4"/>
        <v>MYR</v>
      </c>
      <c r="J39" t="str">
        <f>"2012-01-09"</f>
        <v>2012-01-09</v>
      </c>
      <c r="K39" t="str">
        <f>"100.00"</f>
        <v>100.00</v>
      </c>
      <c r="L39" t="str">
        <f>"100.00"</f>
        <v>100.00</v>
      </c>
      <c r="M39" t="str">
        <f>"NIL"</f>
        <v>NIL</v>
      </c>
      <c r="N39" t="str">
        <f>"NIK AZRI HAKIM BIN N"</f>
        <v>NIK AZRI HAKIM BIN N</v>
      </c>
      <c r="O39" t="str">
        <f>"MAYBANK"</f>
        <v>MAYBANK</v>
      </c>
      <c r="P39" t="str">
        <f>"MBBEMYKL"</f>
        <v>MBBEMYKL</v>
      </c>
      <c r="Q39" t="str">
        <f>"NIL"</f>
        <v>NIL</v>
      </c>
      <c r="R39" t="str">
        <f>"akim_j3@yahoo.com.sg"</f>
        <v>akim_j3@yahoo.com.sg</v>
      </c>
      <c r="S39" t="str">
        <f>"iPAY to NIK AZRI HAKIM BIN N (MAYBANK: 112269027449) (Ref No: 270114158126)"</f>
        <v>iPAY to NIK AZRI HAKIM BIN N (MAYBANK: 112269027449) (Ref No: 270114158126)</v>
      </c>
      <c r="T39" t="str">
        <f t="shared" si="1"/>
        <v>2014-01-27</v>
      </c>
      <c r="U39" t="s">
        <v>32</v>
      </c>
      <c r="V39" t="str">
        <f t="shared" si="7"/>
        <v>Successful</v>
      </c>
      <c r="W39" t="str">
        <f>"270114158126"</f>
        <v>270114158126</v>
      </c>
      <c r="X39" t="str">
        <f t="shared" ref="X39:X53" si="8">"219.93.33.173"</f>
        <v>219.93.33.173</v>
      </c>
    </row>
    <row r="40" spans="1:24">
      <c r="A40" t="s">
        <v>63</v>
      </c>
      <c r="B40" t="str">
        <f>"27/01/2014 08:58:54"</f>
        <v>27/01/2014 08:58:54</v>
      </c>
      <c r="C40" t="str">
        <f>"1457"</f>
        <v>1457</v>
      </c>
      <c r="D40" t="str">
        <f>"mohdtariq"</f>
        <v>mohdtariq</v>
      </c>
      <c r="E40" t="str">
        <f>"MOHD TARIQ AKRAM BIN ZAINAL ABIDIN"</f>
        <v>MOHD TARIQ AKRAM BIN ZAINAL ABIDIN</v>
      </c>
      <c r="F40" t="str">
        <f>"001102006618"</f>
        <v>001102006618</v>
      </c>
      <c r="G40" t="str">
        <f>"14153020190323"</f>
        <v>14153020190323</v>
      </c>
      <c r="H40" t="str">
        <f t="shared" si="4"/>
        <v>MYR</v>
      </c>
      <c r="I40" t="str">
        <f t="shared" si="4"/>
        <v>MYR</v>
      </c>
      <c r="J40" t="str">
        <f>"2008-03-03"</f>
        <v>2008-03-03</v>
      </c>
      <c r="K40" t="str">
        <f>"500.00"</f>
        <v>500.00</v>
      </c>
      <c r="L40" t="str">
        <f>"500.00"</f>
        <v>500.00</v>
      </c>
      <c r="M40" t="str">
        <f>"Loan BIMB Jan 2014"</f>
        <v>Loan BIMB Jan 2014</v>
      </c>
      <c r="N40" t="str">
        <f>"MOHD TARIQ AKRAM BIN ZAINA"</f>
        <v>MOHD TARIQ AKRAM BIN ZAINA</v>
      </c>
      <c r="O40" t="str">
        <f>"BANK ISLAM MALAYSIA BHD"</f>
        <v>BANK ISLAM MALAYSIA BHD</v>
      </c>
      <c r="P40" t="str">
        <f>"BIMBMYKL"</f>
        <v>BIMBMYKL</v>
      </c>
      <c r="Q40" t="str">
        <f>"270120141"</f>
        <v>270120141</v>
      </c>
      <c r="R40" t="str">
        <f>"riqmel@gmail.com"</f>
        <v>riqmel@gmail.com</v>
      </c>
      <c r="S40" t="str">
        <f>"iPAY to MOHD TARIQ AKRAM BIN ZAINA (BANK ISLAM MALAYSIA BHD: 14153020190323) (Ref No: 270114158129)"</f>
        <v>iPAY to MOHD TARIQ AKRAM BIN ZAINA (BANK ISLAM MALAYSIA BHD: 14153020190323) (Ref No: 270114158129)</v>
      </c>
      <c r="T40" t="str">
        <f t="shared" si="1"/>
        <v>2014-01-27</v>
      </c>
      <c r="U40" t="s">
        <v>32</v>
      </c>
      <c r="V40" t="str">
        <f t="shared" si="7"/>
        <v>Successful</v>
      </c>
      <c r="W40" t="str">
        <f>"270114158129"</f>
        <v>270114158129</v>
      </c>
      <c r="X40" t="str">
        <f t="shared" si="8"/>
        <v>219.93.33.173</v>
      </c>
    </row>
    <row r="41" spans="1:24">
      <c r="A41" t="s">
        <v>64</v>
      </c>
      <c r="B41" t="str">
        <f>"27/01/2014 09:06:33"</f>
        <v>27/01/2014 09:06:33</v>
      </c>
      <c r="C41" t="str">
        <f>"170"</f>
        <v>170</v>
      </c>
      <c r="D41" t="str">
        <f>"sarifah7673"</f>
        <v>sarifah7673</v>
      </c>
      <c r="E41" t="str">
        <f>"SARIFAH BINTI SHAARI"</f>
        <v>SARIFAH BINTI SHAARI</v>
      </c>
      <c r="F41" t="str">
        <f>"011020000784"</f>
        <v>011020000784</v>
      </c>
      <c r="G41" t="str">
        <f>"164557015133"</f>
        <v>164557015133</v>
      </c>
      <c r="H41" t="str">
        <f t="shared" si="4"/>
        <v>MYR</v>
      </c>
      <c r="I41" t="str">
        <f t="shared" si="4"/>
        <v>MYR</v>
      </c>
      <c r="J41" t="str">
        <f>"2005-08-05"</f>
        <v>2005-08-05</v>
      </c>
      <c r="K41" t="str">
        <f>"226.00"</f>
        <v>226.00</v>
      </c>
      <c r="L41" t="str">
        <f>"226.00"</f>
        <v>226.00</v>
      </c>
      <c r="M41" t="str">
        <f>"mac"</f>
        <v>mac</v>
      </c>
      <c r="N41" t="str">
        <f>"R ZARINA BINTI R MOH"</f>
        <v>R ZARINA BINTI R MOH</v>
      </c>
      <c r="O41" t="str">
        <f>"MAYBANK"</f>
        <v>MAYBANK</v>
      </c>
      <c r="P41" t="str">
        <f>"MBBEMYKL"</f>
        <v>MBBEMYKL</v>
      </c>
      <c r="Q41" t="str">
        <f t="shared" ref="Q41:R47" si="9">"NIL"</f>
        <v>NIL</v>
      </c>
      <c r="R41" t="str">
        <f t="shared" si="9"/>
        <v>NIL</v>
      </c>
      <c r="S41" t="str">
        <f>"iPAY to R ZARINA BINTI R MOH (MAYBANK: 164557015133) (Ref No: 270114158132)"</f>
        <v>iPAY to R ZARINA BINTI R MOH (MAYBANK: 164557015133) (Ref No: 270114158132)</v>
      </c>
      <c r="T41" t="str">
        <f t="shared" si="1"/>
        <v>2014-01-27</v>
      </c>
      <c r="U41" t="s">
        <v>32</v>
      </c>
      <c r="V41" t="str">
        <f t="shared" si="7"/>
        <v>Successful</v>
      </c>
      <c r="W41" t="str">
        <f>"270114158132"</f>
        <v>270114158132</v>
      </c>
      <c r="X41" t="str">
        <f t="shared" si="8"/>
        <v>219.93.33.173</v>
      </c>
    </row>
    <row r="42" spans="1:24">
      <c r="A42" t="s">
        <v>65</v>
      </c>
      <c r="B42" t="str">
        <f>"27/01/2014 09:10:06"</f>
        <v>27/01/2014 09:10:06</v>
      </c>
      <c r="C42" t="str">
        <f>"42171"</f>
        <v>42171</v>
      </c>
      <c r="D42" t="str">
        <f>"Nashrah"</f>
        <v>Nashrah</v>
      </c>
      <c r="E42" t="str">
        <f>"NASHRAH BINTI S.BORHAN"</f>
        <v>NASHRAH BINTI S.BORHAN</v>
      </c>
      <c r="F42" t="str">
        <f>"010103003085"</f>
        <v>010103003085</v>
      </c>
      <c r="G42" t="str">
        <f>"12360019289523"</f>
        <v>12360019289523</v>
      </c>
      <c r="H42" t="str">
        <f t="shared" si="4"/>
        <v>MYR</v>
      </c>
      <c r="I42" t="str">
        <f t="shared" si="4"/>
        <v>MYR</v>
      </c>
      <c r="J42" t="str">
        <f>"2012-06-18"</f>
        <v>2012-06-18</v>
      </c>
      <c r="K42" t="str">
        <f>"250.00"</f>
        <v>250.00</v>
      </c>
      <c r="L42" t="str">
        <f>"250.00"</f>
        <v>250.00</v>
      </c>
      <c r="M42" t="str">
        <f>"NIL"</f>
        <v>NIL</v>
      </c>
      <c r="N42" t="str">
        <f>"NIK M.FADZLE"</f>
        <v>NIK M.FADZLE</v>
      </c>
      <c r="O42" t="str">
        <f>"CIMB BANK"</f>
        <v>CIMB BANK</v>
      </c>
      <c r="P42" t="str">
        <f>"CIBBMYKL"</f>
        <v>CIBBMYKL</v>
      </c>
      <c r="Q42" t="str">
        <f t="shared" si="9"/>
        <v>NIL</v>
      </c>
      <c r="R42" t="str">
        <f t="shared" si="9"/>
        <v>NIL</v>
      </c>
      <c r="S42" t="str">
        <f>"iPAY to NIK M.FADZLE (CIMB BANK: 12360019289523) (Ref No: 270114158135)"</f>
        <v>iPAY to NIK M.FADZLE (CIMB BANK: 12360019289523) (Ref No: 270114158135)</v>
      </c>
      <c r="T42" t="str">
        <f t="shared" si="1"/>
        <v>2014-01-27</v>
      </c>
      <c r="U42" t="s">
        <v>32</v>
      </c>
      <c r="V42" t="str">
        <f t="shared" si="7"/>
        <v>Successful</v>
      </c>
      <c r="W42" t="str">
        <f>"270114158135"</f>
        <v>270114158135</v>
      </c>
      <c r="X42" t="str">
        <f t="shared" si="8"/>
        <v>219.93.33.173</v>
      </c>
    </row>
    <row r="43" spans="1:24">
      <c r="A43" t="s">
        <v>66</v>
      </c>
      <c r="B43" t="str">
        <f>"27/01/2014 09:12:09"</f>
        <v>27/01/2014 09:12:09</v>
      </c>
      <c r="C43" t="str">
        <f>"22758"</f>
        <v>22758</v>
      </c>
      <c r="D43" t="str">
        <f>"MAISARAG"</f>
        <v>MAISARAG</v>
      </c>
      <c r="E43" t="str">
        <f>"HANIZAH BINTI MOHD TAIB"</f>
        <v>HANIZAH BINTI MOHD TAIB</v>
      </c>
      <c r="F43" t="str">
        <f>"006102005939"</f>
        <v>006102005939</v>
      </c>
      <c r="G43" t="str">
        <f>"12131080018177"</f>
        <v>12131080018177</v>
      </c>
      <c r="H43" t="str">
        <f t="shared" si="4"/>
        <v>MYR</v>
      </c>
      <c r="I43" t="str">
        <f t="shared" si="4"/>
        <v>MYR</v>
      </c>
      <c r="J43" t="str">
        <f>"2011-10-03"</f>
        <v>2011-10-03</v>
      </c>
      <c r="K43" t="str">
        <f>"1080.00"</f>
        <v>1080.00</v>
      </c>
      <c r="L43" t="str">
        <f>"1080.00"</f>
        <v>1080.00</v>
      </c>
      <c r="M43" t="str">
        <f>"NIL"</f>
        <v>NIL</v>
      </c>
      <c r="N43" t="str">
        <f>"PUAN HANIZAH BINTI MOHD TA"</f>
        <v>PUAN HANIZAH BINTI MOHD TA</v>
      </c>
      <c r="O43" t="str">
        <f>"BANK ISLAM MALAYSIA BHD"</f>
        <v>BANK ISLAM MALAYSIA BHD</v>
      </c>
      <c r="P43" t="str">
        <f>"BIMBMYKL"</f>
        <v>BIMBMYKL</v>
      </c>
      <c r="Q43" t="str">
        <f t="shared" si="9"/>
        <v>NIL</v>
      </c>
      <c r="R43" t="str">
        <f t="shared" si="9"/>
        <v>NIL</v>
      </c>
      <c r="S43" t="str">
        <f>"iPAY to PUAN HANIZAH BINTI MOHD TA (BANK ISLAM MALAYSIA BHD: 12131080018177) (Ref No: 270114158141)"</f>
        <v>iPAY to PUAN HANIZAH BINTI MOHD TA (BANK ISLAM MALAYSIA BHD: 12131080018177) (Ref No: 270114158141)</v>
      </c>
      <c r="T43" t="str">
        <f t="shared" si="1"/>
        <v>2014-01-27</v>
      </c>
      <c r="U43" t="s">
        <v>32</v>
      </c>
      <c r="V43" t="str">
        <f t="shared" si="7"/>
        <v>Successful</v>
      </c>
      <c r="W43" t="str">
        <f>"270114158141"</f>
        <v>270114158141</v>
      </c>
      <c r="X43" t="str">
        <f t="shared" si="8"/>
        <v>219.93.33.173</v>
      </c>
    </row>
    <row r="44" spans="1:24">
      <c r="A44" t="s">
        <v>67</v>
      </c>
      <c r="B44" t="str">
        <f>"27/01/2014 09:13:47"</f>
        <v>27/01/2014 09:13:47</v>
      </c>
      <c r="C44" t="str">
        <f>"853"</f>
        <v>853</v>
      </c>
      <c r="D44" t="str">
        <f>"roslan71"</f>
        <v>roslan71</v>
      </c>
      <c r="E44" t="str">
        <f>"ROSLAN BIN HASAN BASRI"</f>
        <v>ROSLAN BIN HASAN BASRI</v>
      </c>
      <c r="F44" t="str">
        <f>"011050004918"</f>
        <v>011050004918</v>
      </c>
      <c r="G44" t="str">
        <f>"789832228043"</f>
        <v>789832228043</v>
      </c>
      <c r="H44" t="str">
        <f t="shared" si="4"/>
        <v>MYR</v>
      </c>
      <c r="I44" t="str">
        <f t="shared" si="4"/>
        <v>MYR</v>
      </c>
      <c r="J44" t="str">
        <f>"2007-05-11"</f>
        <v>2007-05-11</v>
      </c>
      <c r="K44" t="str">
        <f>"951.00"</f>
        <v>951.00</v>
      </c>
      <c r="L44" t="str">
        <f>"951.00"</f>
        <v>951.00</v>
      </c>
      <c r="M44" t="str">
        <f>"W7173B"</f>
        <v>W7173B</v>
      </c>
      <c r="N44" t="str">
        <f>"YUSNITA BINTI ROSLAN"</f>
        <v>YUSNITA BINTI ROSLAN</v>
      </c>
      <c r="O44" t="str">
        <f>"MAYBANK"</f>
        <v>MAYBANK</v>
      </c>
      <c r="P44" t="str">
        <f>"MBBEMYKL"</f>
        <v>MBBEMYKL</v>
      </c>
      <c r="Q44" t="str">
        <f t="shared" si="9"/>
        <v>NIL</v>
      </c>
      <c r="R44" t="str">
        <f t="shared" si="9"/>
        <v>NIL</v>
      </c>
      <c r="S44" t="str">
        <f>"iPAY to YUSNITA BINTI ROSLAN (MAYBANK: 789832228043) (Ref No: 270114158137)"</f>
        <v>iPAY to YUSNITA BINTI ROSLAN (MAYBANK: 789832228043) (Ref No: 270114158137)</v>
      </c>
      <c r="T44" t="str">
        <f t="shared" si="1"/>
        <v>2014-01-27</v>
      </c>
      <c r="U44" t="s">
        <v>32</v>
      </c>
      <c r="V44" t="str">
        <f t="shared" si="7"/>
        <v>Successful</v>
      </c>
      <c r="W44" t="str">
        <f>"270114158137"</f>
        <v>270114158137</v>
      </c>
      <c r="X44" t="str">
        <f t="shared" si="8"/>
        <v>219.93.33.173</v>
      </c>
    </row>
    <row r="45" spans="1:24">
      <c r="A45" t="s">
        <v>68</v>
      </c>
      <c r="B45" t="str">
        <f>"27/01/2014 09:14:15"</f>
        <v>27/01/2014 09:14:15</v>
      </c>
      <c r="C45" t="str">
        <f>"22758"</f>
        <v>22758</v>
      </c>
      <c r="D45" t="str">
        <f>"MAISARAG"</f>
        <v>MAISARAG</v>
      </c>
      <c r="E45" t="str">
        <f>"HANIZAH BINTI MOHD TAIB"</f>
        <v>HANIZAH BINTI MOHD TAIB</v>
      </c>
      <c r="F45" t="str">
        <f>"006102005939"</f>
        <v>006102005939</v>
      </c>
      <c r="G45" t="str">
        <f>"4365010000542712"</f>
        <v>4365010000542712</v>
      </c>
      <c r="H45" t="str">
        <f t="shared" si="4"/>
        <v>MYR</v>
      </c>
      <c r="I45" t="str">
        <f t="shared" si="4"/>
        <v>MYR</v>
      </c>
      <c r="J45" t="str">
        <f>"2011-10-03"</f>
        <v>2011-10-03</v>
      </c>
      <c r="K45" t="str">
        <f>"1000.00"</f>
        <v>1000.00</v>
      </c>
      <c r="L45" t="str">
        <f>"1000.00"</f>
        <v>1000.00</v>
      </c>
      <c r="M45" t="str">
        <f>"NIL"</f>
        <v>NIL</v>
      </c>
      <c r="N45" t="str">
        <f>"HANIZAH MOHD TAIB"</f>
        <v>HANIZAH MOHD TAIB</v>
      </c>
      <c r="O45" t="str">
        <f>"CITIBANK"</f>
        <v>CITIBANK</v>
      </c>
      <c r="P45" t="str">
        <f>"CITIMYKL"</f>
        <v>CITIMYKL</v>
      </c>
      <c r="Q45" t="str">
        <f t="shared" si="9"/>
        <v>NIL</v>
      </c>
      <c r="R45" t="str">
        <f t="shared" si="9"/>
        <v>NIL</v>
      </c>
      <c r="S45" t="str">
        <f>"iPAY to HANIZAH MOHD TAIB (CITIBANK: 4365010000542712) (Ref No: 270114158144)"</f>
        <v>iPAY to HANIZAH MOHD TAIB (CITIBANK: 4365010000542712) (Ref No: 270114158144)</v>
      </c>
      <c r="T45" t="str">
        <f t="shared" si="1"/>
        <v>2014-01-27</v>
      </c>
      <c r="U45" t="s">
        <v>32</v>
      </c>
      <c r="V45" t="str">
        <f t="shared" si="7"/>
        <v>Successful</v>
      </c>
      <c r="W45" t="str">
        <f>"270114158144"</f>
        <v>270114158144</v>
      </c>
      <c r="X45" t="str">
        <f t="shared" si="8"/>
        <v>219.93.33.173</v>
      </c>
    </row>
    <row r="46" spans="1:24">
      <c r="A46" t="s">
        <v>69</v>
      </c>
      <c r="B46" t="str">
        <f>"27/01/2014 09:15:39"</f>
        <v>27/01/2014 09:15:39</v>
      </c>
      <c r="C46" t="str">
        <f>"8308"</f>
        <v>8308</v>
      </c>
      <c r="D46" t="str">
        <f>"aa_6313"</f>
        <v>aa_6313</v>
      </c>
      <c r="E46" t="str">
        <f>"SITI AISHAH BINTI AMIRUDDIN"</f>
        <v>SITI AISHAH BINTI AMIRUDDIN</v>
      </c>
      <c r="F46" t="str">
        <f>"002103000103"</f>
        <v>002103000103</v>
      </c>
      <c r="G46" t="str">
        <f>"11418300100202"</f>
        <v>11418300100202</v>
      </c>
      <c r="H46" t="str">
        <f t="shared" si="4"/>
        <v>MYR</v>
      </c>
      <c r="I46" t="str">
        <f t="shared" si="4"/>
        <v>MYR</v>
      </c>
      <c r="J46" t="str">
        <f>"2010-11-29"</f>
        <v>2010-11-29</v>
      </c>
      <c r="K46" t="str">
        <f>"700.00"</f>
        <v>700.00</v>
      </c>
      <c r="L46" t="str">
        <f>"700.00"</f>
        <v>700.00</v>
      </c>
      <c r="M46" t="str">
        <f>"NIL"</f>
        <v>NIL</v>
      </c>
      <c r="N46" t="str">
        <f>"SITI AISHAH"</f>
        <v>SITI AISHAH</v>
      </c>
      <c r="O46" t="str">
        <f>"RHB BANK"</f>
        <v>RHB BANK</v>
      </c>
      <c r="P46" t="str">
        <f>"RHBBMYKL"</f>
        <v>RHBBMYKL</v>
      </c>
      <c r="Q46" t="str">
        <f t="shared" si="9"/>
        <v>NIL</v>
      </c>
      <c r="R46" t="str">
        <f t="shared" si="9"/>
        <v>NIL</v>
      </c>
      <c r="S46" t="str">
        <f>"iPAY to SITI AISHAH (RHB BANK: 11418300100202) (Ref No: 270114158148)"</f>
        <v>iPAY to SITI AISHAH (RHB BANK: 11418300100202) (Ref No: 270114158148)</v>
      </c>
      <c r="T46" t="str">
        <f t="shared" si="1"/>
        <v>2014-01-27</v>
      </c>
      <c r="U46" t="s">
        <v>32</v>
      </c>
      <c r="V46" t="str">
        <f t="shared" si="7"/>
        <v>Successful</v>
      </c>
      <c r="W46" t="str">
        <f>"270114158148"</f>
        <v>270114158148</v>
      </c>
      <c r="X46" t="str">
        <f t="shared" si="8"/>
        <v>219.93.33.173</v>
      </c>
    </row>
    <row r="47" spans="1:24">
      <c r="A47" t="s">
        <v>70</v>
      </c>
      <c r="B47" t="str">
        <f>"27/01/2014 09:16:05"</f>
        <v>27/01/2014 09:16:05</v>
      </c>
      <c r="C47" t="str">
        <f>"4159"</f>
        <v>4159</v>
      </c>
      <c r="D47" t="str">
        <f>"n_lynx83"</f>
        <v>n_lynx83</v>
      </c>
      <c r="E47" t="str">
        <f>"NORSURIANIE BINTI SUPATDY"</f>
        <v>NORSURIANIE BINTI SUPATDY</v>
      </c>
      <c r="F47" t="str">
        <f>"001102013312"</f>
        <v>001102013312</v>
      </c>
      <c r="G47" t="str">
        <f>"162143088735"</f>
        <v>162143088735</v>
      </c>
      <c r="H47" t="str">
        <f t="shared" si="4"/>
        <v>MYR</v>
      </c>
      <c r="I47" t="str">
        <f t="shared" si="4"/>
        <v>MYR</v>
      </c>
      <c r="J47" t="str">
        <f>"NIL"</f>
        <v>NIL</v>
      </c>
      <c r="K47" t="str">
        <f>"58.00"</f>
        <v>58.00</v>
      </c>
      <c r="L47" t="str">
        <f>"58.00"</f>
        <v>58.00</v>
      </c>
      <c r="M47" t="str">
        <f>"NIL"</f>
        <v>NIL</v>
      </c>
      <c r="N47" t="str">
        <f>"NURHAWA BINTI ARSAD"</f>
        <v>NURHAWA BINTI ARSAD</v>
      </c>
      <c r="O47" t="str">
        <f>"MAYBANK"</f>
        <v>MAYBANK</v>
      </c>
      <c r="P47" t="str">
        <f>"MBBEMYKL"</f>
        <v>MBBEMYKL</v>
      </c>
      <c r="Q47" t="str">
        <f t="shared" si="9"/>
        <v>NIL</v>
      </c>
      <c r="R47" t="str">
        <f t="shared" si="9"/>
        <v>NIL</v>
      </c>
      <c r="S47" t="str">
        <f>"iPAY to NURHAWA BINTI ARSAD (MAYBANK: 162143088735)"</f>
        <v>iPAY to NURHAWA BINTI ARSAD (MAYBANK: 162143088735)</v>
      </c>
      <c r="T47" t="str">
        <f t="shared" si="1"/>
        <v>2014-01-27</v>
      </c>
      <c r="U47" t="s">
        <v>34</v>
      </c>
      <c r="V47" t="str">
        <f>"System error"</f>
        <v>System error</v>
      </c>
      <c r="W47" t="str">
        <f>"NIL"</f>
        <v>NIL</v>
      </c>
      <c r="X47" t="str">
        <f t="shared" si="8"/>
        <v>219.93.33.173</v>
      </c>
    </row>
    <row r="48" spans="1:24">
      <c r="A48" t="s">
        <v>71</v>
      </c>
      <c r="B48" t="str">
        <f>"27/01/2014 09:20:24"</f>
        <v>27/01/2014 09:20:24</v>
      </c>
      <c r="C48" t="str">
        <f>"6946"</f>
        <v>6946</v>
      </c>
      <c r="D48" t="str">
        <f>"jasonng"</f>
        <v>jasonng</v>
      </c>
      <c r="E48" t="str">
        <f>"NG CHONG TIEN"</f>
        <v>NG CHONG TIEN</v>
      </c>
      <c r="F48" t="str">
        <f>"001102018012"</f>
        <v>001102018012</v>
      </c>
      <c r="G48" t="str">
        <f>"21406200085067"</f>
        <v>21406200085067</v>
      </c>
      <c r="H48" t="str">
        <f t="shared" si="4"/>
        <v>MYR</v>
      </c>
      <c r="I48" t="str">
        <f t="shared" si="4"/>
        <v>MYR</v>
      </c>
      <c r="J48" t="str">
        <f>"2010-07-20"</f>
        <v>2010-07-20</v>
      </c>
      <c r="K48" t="str">
        <f>"4600.00"</f>
        <v>4600.00</v>
      </c>
      <c r="L48" t="str">
        <f>"4600.00"</f>
        <v>4600.00</v>
      </c>
      <c r="M48" t="str">
        <f>"jason"</f>
        <v>jason</v>
      </c>
      <c r="N48" t="str">
        <f>"NG CHONG TIEN"</f>
        <v>NG CHONG TIEN</v>
      </c>
      <c r="O48" t="str">
        <f>"RHB BANK"</f>
        <v>RHB BANK</v>
      </c>
      <c r="P48" t="str">
        <f>"RHBBMYKL"</f>
        <v>RHBBMYKL</v>
      </c>
      <c r="Q48" t="str">
        <f>"jason"</f>
        <v>jason</v>
      </c>
      <c r="R48" t="str">
        <f>"NIL"</f>
        <v>NIL</v>
      </c>
      <c r="S48" t="str">
        <f>"iPAY to NG CHONG TIEN (RHB BANK: 21406200085067) (Ref No: 270114158152)"</f>
        <v>iPAY to NG CHONG TIEN (RHB BANK: 21406200085067) (Ref No: 270114158152)</v>
      </c>
      <c r="T48" t="str">
        <f t="shared" si="1"/>
        <v>2014-01-27</v>
      </c>
      <c r="U48" t="s">
        <v>32</v>
      </c>
      <c r="V48" t="str">
        <f>"Successful"</f>
        <v>Successful</v>
      </c>
      <c r="W48" t="str">
        <f>"270114158152"</f>
        <v>270114158152</v>
      </c>
      <c r="X48" t="str">
        <f t="shared" si="8"/>
        <v>219.93.33.173</v>
      </c>
    </row>
    <row r="49" spans="1:24">
      <c r="A49" t="s">
        <v>72</v>
      </c>
      <c r="B49" t="str">
        <f>"27/01/2014 09:20:38"</f>
        <v>27/01/2014 09:20:38</v>
      </c>
      <c r="C49" t="str">
        <f>"53030"</f>
        <v>53030</v>
      </c>
      <c r="D49" t="str">
        <f>"fazirah"</f>
        <v>fazirah</v>
      </c>
      <c r="E49" t="str">
        <f>"FAZIRAH BINTI RAITHOL AFTHAL"</f>
        <v>FAZIRAH BINTI RAITHOL AFTHAL</v>
      </c>
      <c r="F49" t="str">
        <f>"001102038528"</f>
        <v>001102038528</v>
      </c>
      <c r="G49" t="str">
        <f>"564016772676"</f>
        <v>564016772676</v>
      </c>
      <c r="H49" t="str">
        <f t="shared" si="4"/>
        <v>MYR</v>
      </c>
      <c r="I49" t="str">
        <f t="shared" si="4"/>
        <v>MYR</v>
      </c>
      <c r="J49" t="str">
        <f>"NIL"</f>
        <v>NIL</v>
      </c>
      <c r="K49" t="str">
        <f>"3000.00"</f>
        <v>3000.00</v>
      </c>
      <c r="L49" t="str">
        <f>"3000.00"</f>
        <v>3000.00</v>
      </c>
      <c r="M49" t="str">
        <f>"Peugot ALtis CIC"</f>
        <v>Peugot ALtis CIC</v>
      </c>
      <c r="N49" t="str">
        <f>"FAZIRAH BINTI RAITHO"</f>
        <v>FAZIRAH BINTI RAITHO</v>
      </c>
      <c r="O49" t="str">
        <f>"MAYBANK"</f>
        <v>MAYBANK</v>
      </c>
      <c r="P49" t="str">
        <f>"MBBEMYKL"</f>
        <v>MBBEMYKL</v>
      </c>
      <c r="Q49" t="str">
        <f t="shared" ref="Q49:Q58" si="10">"NIL"</f>
        <v>NIL</v>
      </c>
      <c r="R49" t="str">
        <f>"fazira74@yahoo.com"</f>
        <v>fazira74@yahoo.com</v>
      </c>
      <c r="S49" t="str">
        <f>"iPAY to FAZIRAH BINTI RAITHO (MAYBANK: 564016772676)"</f>
        <v>iPAY to FAZIRAH BINTI RAITHO (MAYBANK: 564016772676)</v>
      </c>
      <c r="T49" t="str">
        <f t="shared" si="1"/>
        <v>2014-01-27</v>
      </c>
      <c r="U49" t="s">
        <v>34</v>
      </c>
      <c r="V49" t="str">
        <f>"System error"</f>
        <v>System error</v>
      </c>
      <c r="W49" t="str">
        <f>"NIL"</f>
        <v>NIL</v>
      </c>
      <c r="X49" t="str">
        <f t="shared" si="8"/>
        <v>219.93.33.173</v>
      </c>
    </row>
    <row r="50" spans="1:24">
      <c r="A50" t="s">
        <v>73</v>
      </c>
      <c r="B50" t="str">
        <f>"27/01/2014 09:21:24"</f>
        <v>27/01/2014 09:21:24</v>
      </c>
      <c r="C50" t="str">
        <f>"22758"</f>
        <v>22758</v>
      </c>
      <c r="D50" t="str">
        <f>"MAISARAG"</f>
        <v>MAISARAG</v>
      </c>
      <c r="E50" t="str">
        <f>"HANIZAH BINTI MOHD TAIB"</f>
        <v>HANIZAH BINTI MOHD TAIB</v>
      </c>
      <c r="F50" t="str">
        <f>"006102005939"</f>
        <v>006102005939</v>
      </c>
      <c r="G50" t="str">
        <f>"530002458111"</f>
        <v>530002458111</v>
      </c>
      <c r="H50" t="str">
        <f t="shared" ref="H50:I69" si="11">"MYR"</f>
        <v>MYR</v>
      </c>
      <c r="I50" t="str">
        <f t="shared" si="11"/>
        <v>MYR</v>
      </c>
      <c r="J50" t="str">
        <f>"NIL"</f>
        <v>NIL</v>
      </c>
      <c r="K50" t="str">
        <f>"1075.00"</f>
        <v>1075.00</v>
      </c>
      <c r="L50" t="str">
        <f>"1075.00"</f>
        <v>1075.00</v>
      </c>
      <c r="M50" t="str">
        <f>"NIL"</f>
        <v>NIL</v>
      </c>
      <c r="N50" t="str">
        <f>"HANIZAH BINTI MOHD T"</f>
        <v>HANIZAH BINTI MOHD T</v>
      </c>
      <c r="O50" t="str">
        <f>"CIMB BANK"</f>
        <v>CIMB BANK</v>
      </c>
      <c r="P50" t="str">
        <f>"CIBBMYKL"</f>
        <v>CIBBMYKL</v>
      </c>
      <c r="Q50" t="str">
        <f t="shared" si="10"/>
        <v>NIL</v>
      </c>
      <c r="R50" t="str">
        <f>"NIL"</f>
        <v>NIL</v>
      </c>
      <c r="S50" t="str">
        <f>"iPAY to HANIZAH BINTI MOHD T (CIMB BANK: 530002458111)"</f>
        <v>iPAY to HANIZAH BINTI MOHD T (CIMB BANK: 530002458111)</v>
      </c>
      <c r="T50" t="str">
        <f t="shared" si="1"/>
        <v>2014-01-27</v>
      </c>
      <c r="U50" t="s">
        <v>34</v>
      </c>
      <c r="V50" t="str">
        <f>"System error"</f>
        <v>System error</v>
      </c>
      <c r="W50" t="str">
        <f>"NIL"</f>
        <v>NIL</v>
      </c>
      <c r="X50" t="str">
        <f t="shared" si="8"/>
        <v>219.93.33.173</v>
      </c>
    </row>
    <row r="51" spans="1:24">
      <c r="A51" t="s">
        <v>74</v>
      </c>
      <c r="B51" t="str">
        <f>"27/01/2014 09:22:57"</f>
        <v>27/01/2014 09:22:57</v>
      </c>
      <c r="C51" t="str">
        <f>"11762"</f>
        <v>11762</v>
      </c>
      <c r="D51" t="str">
        <f>"eekha_zain"</f>
        <v>eekha_zain</v>
      </c>
      <c r="E51" t="str">
        <f>"SITI NUR ZUFIQKHA BINTI MOHD ZIN"</f>
        <v>SITI NUR ZUFIQKHA BINTI MOHD ZIN</v>
      </c>
      <c r="F51" t="str">
        <f>"001102026465"</f>
        <v>001102026465</v>
      </c>
      <c r="G51" t="str">
        <f>"16413300080828"</f>
        <v>16413300080828</v>
      </c>
      <c r="H51" t="str">
        <f t="shared" si="11"/>
        <v>MYR</v>
      </c>
      <c r="I51" t="str">
        <f t="shared" si="11"/>
        <v>MYR</v>
      </c>
      <c r="J51" t="str">
        <f>"2011-05-18"</f>
        <v>2011-05-18</v>
      </c>
      <c r="K51" t="str">
        <f>"2659.00"</f>
        <v>2659.00</v>
      </c>
      <c r="L51" t="str">
        <f>"2659.00"</f>
        <v>2659.00</v>
      </c>
      <c r="M51" t="str">
        <f>"NIL"</f>
        <v>NIL</v>
      </c>
      <c r="N51" t="str">
        <f>"SITI NUR ZUFI"</f>
        <v>SITI NUR ZUFI</v>
      </c>
      <c r="O51" t="str">
        <f>"RHB BANK"</f>
        <v>RHB BANK</v>
      </c>
      <c r="P51" t="str">
        <f>"RHBBMYKL"</f>
        <v>RHBBMYKL</v>
      </c>
      <c r="Q51" t="str">
        <f t="shared" si="10"/>
        <v>NIL</v>
      </c>
      <c r="R51" t="str">
        <f>"NIL"</f>
        <v>NIL</v>
      </c>
      <c r="S51" t="str">
        <f>"iPAY to SITI NUR ZUFI (RHB BANK: 16413300080828) (Ref No: 270114158157)"</f>
        <v>iPAY to SITI NUR ZUFI (RHB BANK: 16413300080828) (Ref No: 270114158157)</v>
      </c>
      <c r="T51" t="str">
        <f t="shared" si="1"/>
        <v>2014-01-27</v>
      </c>
      <c r="U51" t="s">
        <v>32</v>
      </c>
      <c r="V51" t="str">
        <f>"Successful"</f>
        <v>Successful</v>
      </c>
      <c r="W51" t="str">
        <f>"270114158157"</f>
        <v>270114158157</v>
      </c>
      <c r="X51" t="str">
        <f t="shared" si="8"/>
        <v>219.93.33.173</v>
      </c>
    </row>
    <row r="52" spans="1:24">
      <c r="A52" t="s">
        <v>75</v>
      </c>
      <c r="B52" t="str">
        <f>"27/01/2014 09:26:08"</f>
        <v>27/01/2014 09:26:08</v>
      </c>
      <c r="C52" t="str">
        <f>"1633"</f>
        <v>1633</v>
      </c>
      <c r="D52" t="str">
        <f>"wanrazalli"</f>
        <v>wanrazalli</v>
      </c>
      <c r="E52" t="str">
        <f>"WAN RAZALLI BIN WAN MOHAMAD RADZI"</f>
        <v>WAN RAZALLI BIN WAN MOHAMAD RADZI</v>
      </c>
      <c r="F52" t="str">
        <f>"001102007347"</f>
        <v>001102007347</v>
      </c>
      <c r="G52" t="str">
        <f>"514712051196"</f>
        <v>514712051196</v>
      </c>
      <c r="H52" t="str">
        <f t="shared" si="11"/>
        <v>MYR</v>
      </c>
      <c r="I52" t="str">
        <f t="shared" si="11"/>
        <v>MYR</v>
      </c>
      <c r="J52" t="str">
        <f>"NIL"</f>
        <v>NIL</v>
      </c>
      <c r="K52" t="str">
        <f>"2050.00"</f>
        <v>2050.00</v>
      </c>
      <c r="L52" t="str">
        <f>"2050.00"</f>
        <v>2050.00</v>
      </c>
      <c r="M52" t="str">
        <f>"NIL"</f>
        <v>NIL</v>
      </c>
      <c r="N52" t="str">
        <f>"ALFRED KENNETH JINGU"</f>
        <v>ALFRED KENNETH JINGU</v>
      </c>
      <c r="O52" t="str">
        <f>"MAYBANK"</f>
        <v>MAYBANK</v>
      </c>
      <c r="P52" t="str">
        <f>"MBBEMYKL"</f>
        <v>MBBEMYKL</v>
      </c>
      <c r="Q52" t="str">
        <f t="shared" si="10"/>
        <v>NIL</v>
      </c>
      <c r="R52" t="str">
        <f>"NIL"</f>
        <v>NIL</v>
      </c>
      <c r="S52" t="str">
        <f>"iPAY to ALFRED KENNETH JINGU (MAYBANK: 514712051196)"</f>
        <v>iPAY to ALFRED KENNETH JINGU (MAYBANK: 514712051196)</v>
      </c>
      <c r="T52" t="str">
        <f t="shared" si="1"/>
        <v>2014-01-27</v>
      </c>
      <c r="U52" t="s">
        <v>34</v>
      </c>
      <c r="V52" t="str">
        <f>"System error"</f>
        <v>System error</v>
      </c>
      <c r="W52" t="str">
        <f>"NIL"</f>
        <v>NIL</v>
      </c>
      <c r="X52" t="str">
        <f t="shared" si="8"/>
        <v>219.93.33.173</v>
      </c>
    </row>
    <row r="53" spans="1:24">
      <c r="A53" t="s">
        <v>76</v>
      </c>
      <c r="B53" t="str">
        <f>"27/01/2014 09:26:36"</f>
        <v>27/01/2014 09:26:36</v>
      </c>
      <c r="C53" t="str">
        <f>"11779"</f>
        <v>11779</v>
      </c>
      <c r="D53" t="str">
        <f>"Ezzasaffiq78"</f>
        <v>Ezzasaffiq78</v>
      </c>
      <c r="E53" t="str">
        <f>"NUR EZZASAFFIQ BINTI ZULKIFLI"</f>
        <v>NUR EZZASAFFIQ BINTI ZULKIFLI</v>
      </c>
      <c r="F53" t="str">
        <f>"001102026538"</f>
        <v>001102026538</v>
      </c>
      <c r="G53" t="str">
        <f>"151164168213"</f>
        <v>151164168213</v>
      </c>
      <c r="H53" t="str">
        <f t="shared" si="11"/>
        <v>MYR</v>
      </c>
      <c r="I53" t="str">
        <f t="shared" si="11"/>
        <v>MYR</v>
      </c>
      <c r="J53" t="str">
        <f>"2011-05-18"</f>
        <v>2011-05-18</v>
      </c>
      <c r="K53" t="str">
        <f>"120.00"</f>
        <v>120.00</v>
      </c>
      <c r="L53" t="str">
        <f>"120.00"</f>
        <v>120.00</v>
      </c>
      <c r="M53" t="str">
        <f>"jan"</f>
        <v>jan</v>
      </c>
      <c r="N53" t="str">
        <f>"MARFUA BINTI AMAN"</f>
        <v>MARFUA BINTI AMAN</v>
      </c>
      <c r="O53" t="str">
        <f>"MAYBANK"</f>
        <v>MAYBANK</v>
      </c>
      <c r="P53" t="str">
        <f>"MBBEMYKL"</f>
        <v>MBBEMYKL</v>
      </c>
      <c r="Q53" t="str">
        <f t="shared" si="10"/>
        <v>NIL</v>
      </c>
      <c r="R53" t="str">
        <f>"NIL"</f>
        <v>NIL</v>
      </c>
      <c r="S53" t="str">
        <f>"iPAY to MARFUA BINTI AMAN (MAYBANK: 151164168213) (Ref No: 270114158161)"</f>
        <v>iPAY to MARFUA BINTI AMAN (MAYBANK: 151164168213) (Ref No: 270114158161)</v>
      </c>
      <c r="T53" t="str">
        <f t="shared" si="1"/>
        <v>2014-01-27</v>
      </c>
      <c r="U53" t="s">
        <v>32</v>
      </c>
      <c r="V53" t="str">
        <f>"Successful"</f>
        <v>Successful</v>
      </c>
      <c r="W53" t="str">
        <f>"270114158161"</f>
        <v>270114158161</v>
      </c>
      <c r="X53" t="str">
        <f t="shared" si="8"/>
        <v>219.93.33.173</v>
      </c>
    </row>
    <row r="54" spans="1:24">
      <c r="A54" t="s">
        <v>77</v>
      </c>
      <c r="B54" t="str">
        <f>"27/01/2014 09:27:15"</f>
        <v>27/01/2014 09:27:15</v>
      </c>
      <c r="C54" t="str">
        <f>"34658"</f>
        <v>34658</v>
      </c>
      <c r="D54" t="str">
        <f>"tgazlinda81"</f>
        <v>tgazlinda81</v>
      </c>
      <c r="E54" t="str">
        <f>"TENGKU AZLINDA BINTI TENGKU  GHAZALI"</f>
        <v>TENGKU AZLINDA BINTI TENGKU  GHAZALI</v>
      </c>
      <c r="F54" t="str">
        <f>"011103001602"</f>
        <v>011103001602</v>
      </c>
      <c r="G54" t="str">
        <f>"162450129880"</f>
        <v>162450129880</v>
      </c>
      <c r="H54" t="str">
        <f t="shared" si="11"/>
        <v>MYR</v>
      </c>
      <c r="I54" t="str">
        <f t="shared" si="11"/>
        <v>MYR</v>
      </c>
      <c r="J54" t="str">
        <f>"2011-12-31"</f>
        <v>2011-12-31</v>
      </c>
      <c r="K54" t="str">
        <f>"65.00"</f>
        <v>65.00</v>
      </c>
      <c r="L54" t="str">
        <f>"65.00"</f>
        <v>65.00</v>
      </c>
      <c r="M54" t="str">
        <f>"NIL"</f>
        <v>NIL</v>
      </c>
      <c r="N54" t="str">
        <f>"RAZHAFIYAH BINTI RAZ"</f>
        <v>RAZHAFIYAH BINTI RAZ</v>
      </c>
      <c r="O54" t="str">
        <f>"MAYBANK"</f>
        <v>MAYBANK</v>
      </c>
      <c r="P54" t="str">
        <f>"MBBEMYKL"</f>
        <v>MBBEMYKL</v>
      </c>
      <c r="Q54" t="str">
        <f t="shared" si="10"/>
        <v>NIL</v>
      </c>
      <c r="R54" t="str">
        <f>"linda@coshare.my"</f>
        <v>linda@coshare.my</v>
      </c>
      <c r="S54" t="str">
        <f>"iPAY to RAZHAFIYAH BINTI RAZ (MAYBANK: 162450129880) (Ref No: 270114158163)"</f>
        <v>iPAY to RAZHAFIYAH BINTI RAZ (MAYBANK: 162450129880) (Ref No: 270114158163)</v>
      </c>
      <c r="T54" t="str">
        <f t="shared" si="1"/>
        <v>2014-01-27</v>
      </c>
      <c r="U54" t="s">
        <v>32</v>
      </c>
      <c r="V54" t="str">
        <f>"Successful"</f>
        <v>Successful</v>
      </c>
      <c r="W54" t="str">
        <f>"270114158163"</f>
        <v>270114158163</v>
      </c>
      <c r="X54" t="str">
        <f>"219.92.3.125"</f>
        <v>219.92.3.125</v>
      </c>
    </row>
    <row r="55" spans="1:24">
      <c r="A55" t="s">
        <v>78</v>
      </c>
      <c r="B55" t="str">
        <f>"27/01/2014 09:28:01"</f>
        <v>27/01/2014 09:28:01</v>
      </c>
      <c r="C55" t="str">
        <f>"11779"</f>
        <v>11779</v>
      </c>
      <c r="D55" t="str">
        <f>"Ezzasaffiq78"</f>
        <v>Ezzasaffiq78</v>
      </c>
      <c r="E55" t="str">
        <f>"NUR EZZASAFFIQ BINTI ZULKIFLI"</f>
        <v>NUR EZZASAFFIQ BINTI ZULKIFLI</v>
      </c>
      <c r="F55" t="str">
        <f>"001102026538"</f>
        <v>001102026538</v>
      </c>
      <c r="G55" t="str">
        <f>"15102100195168"</f>
        <v>15102100195168</v>
      </c>
      <c r="H55" t="str">
        <f t="shared" si="11"/>
        <v>MYR</v>
      </c>
      <c r="I55" t="str">
        <f t="shared" si="11"/>
        <v>MYR</v>
      </c>
      <c r="J55" t="str">
        <f>"NIL"</f>
        <v>NIL</v>
      </c>
      <c r="K55" t="str">
        <f>"400.00"</f>
        <v>400.00</v>
      </c>
      <c r="L55" t="str">
        <f>"400.00"</f>
        <v>400.00</v>
      </c>
      <c r="M55" t="str">
        <f>"NIL"</f>
        <v>NIL</v>
      </c>
      <c r="N55" t="str">
        <f>"NUR EZZASAFFI"</f>
        <v>NUR EZZASAFFI</v>
      </c>
      <c r="O55" t="str">
        <f>"RHB BANK"</f>
        <v>RHB BANK</v>
      </c>
      <c r="P55" t="str">
        <f>"RHBBMYKL"</f>
        <v>RHBBMYKL</v>
      </c>
      <c r="Q55" t="str">
        <f t="shared" si="10"/>
        <v>NIL</v>
      </c>
      <c r="R55" t="str">
        <f>"putrialyssa@yahoo.com"</f>
        <v>putrialyssa@yahoo.com</v>
      </c>
      <c r="S55" t="str">
        <f>"iPAY to NUR EZZASAFFI (RHB BANK: 15102100195168)"</f>
        <v>iPAY to NUR EZZASAFFI (RHB BANK: 15102100195168)</v>
      </c>
      <c r="T55" t="str">
        <f t="shared" si="1"/>
        <v>2014-01-27</v>
      </c>
      <c r="U55" t="s">
        <v>34</v>
      </c>
      <c r="V55" t="str">
        <f>"System error"</f>
        <v>System error</v>
      </c>
      <c r="W55" t="str">
        <f>"NIL"</f>
        <v>NIL</v>
      </c>
      <c r="X55" t="str">
        <f t="shared" ref="X55:X61" si="12">"219.93.33.173"</f>
        <v>219.93.33.173</v>
      </c>
    </row>
    <row r="56" spans="1:24">
      <c r="A56" t="s">
        <v>79</v>
      </c>
      <c r="B56" t="str">
        <f>"27/01/2014 09:28:18"</f>
        <v>27/01/2014 09:28:18</v>
      </c>
      <c r="C56" t="str">
        <f>"11762"</f>
        <v>11762</v>
      </c>
      <c r="D56" t="str">
        <f>"eekha_zain"</f>
        <v>eekha_zain</v>
      </c>
      <c r="E56" t="str">
        <f>"SITI NUR ZUFIQKHA BINTI MOHD ZIN"</f>
        <v>SITI NUR ZUFIQKHA BINTI MOHD ZIN</v>
      </c>
      <c r="F56" t="str">
        <f>"001102026465"</f>
        <v>001102026465</v>
      </c>
      <c r="G56" t="str">
        <f>"164557230683"</f>
        <v>164557230683</v>
      </c>
      <c r="H56" t="str">
        <f t="shared" si="11"/>
        <v>MYR</v>
      </c>
      <c r="I56" t="str">
        <f t="shared" si="11"/>
        <v>MYR</v>
      </c>
      <c r="J56" t="str">
        <f>"2011-05-18"</f>
        <v>2011-05-18</v>
      </c>
      <c r="K56" t="str">
        <f>"200.00"</f>
        <v>200.00</v>
      </c>
      <c r="L56" t="str">
        <f>"200.00"</f>
        <v>200.00</v>
      </c>
      <c r="M56" t="str">
        <f>"PTPTN &amp; INSURANS"</f>
        <v>PTPTN &amp; INSURANS</v>
      </c>
      <c r="N56" t="str">
        <f>"SITI NUR ZUFIQKHA BI"</f>
        <v>SITI NUR ZUFIQKHA BI</v>
      </c>
      <c r="O56" t="str">
        <f>"MAYBANK"</f>
        <v>MAYBANK</v>
      </c>
      <c r="P56" t="str">
        <f>"MBBEMYKL"</f>
        <v>MBBEMYKL</v>
      </c>
      <c r="Q56" t="str">
        <f t="shared" si="10"/>
        <v>NIL</v>
      </c>
      <c r="R56" t="str">
        <f>"NIL"</f>
        <v>NIL</v>
      </c>
      <c r="S56" t="str">
        <f>"iPAY to SITI NUR ZUFIQKHA BI (MAYBANK: 164557230683) (Ref No: 270114158167)"</f>
        <v>iPAY to SITI NUR ZUFIQKHA BI (MAYBANK: 164557230683) (Ref No: 270114158167)</v>
      </c>
      <c r="T56" t="str">
        <f t="shared" si="1"/>
        <v>2014-01-27</v>
      </c>
      <c r="U56" t="s">
        <v>32</v>
      </c>
      <c r="V56" t="str">
        <f>"Successful"</f>
        <v>Successful</v>
      </c>
      <c r="W56" t="str">
        <f>"270114158167"</f>
        <v>270114158167</v>
      </c>
      <c r="X56" t="str">
        <f t="shared" si="12"/>
        <v>219.93.33.173</v>
      </c>
    </row>
    <row r="57" spans="1:24">
      <c r="A57" t="s">
        <v>80</v>
      </c>
      <c r="B57" t="str">
        <f>"27/01/2014 09:29:21"</f>
        <v>27/01/2014 09:29:21</v>
      </c>
      <c r="C57" t="str">
        <f>"1235"</f>
        <v>1235</v>
      </c>
      <c r="D57" t="str">
        <f>"cygohmk_1"</f>
        <v>cygohmk_1</v>
      </c>
      <c r="E57" t="str">
        <f>"GOH CHAP YONG"</f>
        <v>GOH CHAP YONG</v>
      </c>
      <c r="F57" t="str">
        <f>"001103000853"</f>
        <v>001103000853</v>
      </c>
      <c r="G57" t="str">
        <f>"4365010001574458"</f>
        <v>4365010001574458</v>
      </c>
      <c r="H57" t="str">
        <f t="shared" si="11"/>
        <v>MYR</v>
      </c>
      <c r="I57" t="str">
        <f t="shared" si="11"/>
        <v>MYR</v>
      </c>
      <c r="J57" t="str">
        <f>"2007-12-04"</f>
        <v>2007-12-04</v>
      </c>
      <c r="K57" t="str">
        <f>"1600.00"</f>
        <v>1600.00</v>
      </c>
      <c r="L57" t="str">
        <f>"1600.00"</f>
        <v>1600.00</v>
      </c>
      <c r="M57" t="str">
        <f>"NIL"</f>
        <v>NIL</v>
      </c>
      <c r="N57" t="str">
        <f>"GOH CHAP YONG"</f>
        <v>GOH CHAP YONG</v>
      </c>
      <c r="O57" t="str">
        <f>"CITIBANK"</f>
        <v>CITIBANK</v>
      </c>
      <c r="P57" t="str">
        <f>"CITIMYKL"</f>
        <v>CITIMYKL</v>
      </c>
      <c r="Q57" t="str">
        <f t="shared" si="10"/>
        <v>NIL</v>
      </c>
      <c r="R57" t="str">
        <f>"cygohmk@yahoo.com"</f>
        <v>cygohmk@yahoo.com</v>
      </c>
      <c r="S57" t="str">
        <f>"iPAY to GOH CHAP YONG (CITIBANK: 4365010001574458) (Ref No: 270114158177)"</f>
        <v>iPAY to GOH CHAP YONG (CITIBANK: 4365010001574458) (Ref No: 270114158177)</v>
      </c>
      <c r="T57" t="str">
        <f t="shared" si="1"/>
        <v>2014-01-27</v>
      </c>
      <c r="U57" t="s">
        <v>32</v>
      </c>
      <c r="V57" t="str">
        <f>"Successful"</f>
        <v>Successful</v>
      </c>
      <c r="W57" t="str">
        <f>"270114158177"</f>
        <v>270114158177</v>
      </c>
      <c r="X57" t="str">
        <f t="shared" si="12"/>
        <v>219.93.33.173</v>
      </c>
    </row>
    <row r="58" spans="1:24">
      <c r="A58" t="s">
        <v>81</v>
      </c>
      <c r="B58" t="str">
        <f>"27/01/2014 09:29:22"</f>
        <v>27/01/2014 09:29:22</v>
      </c>
      <c r="C58" t="str">
        <f>"11779"</f>
        <v>11779</v>
      </c>
      <c r="D58" t="str">
        <f>"Ezzasaffiq78"</f>
        <v>Ezzasaffiq78</v>
      </c>
      <c r="E58" t="str">
        <f>"NUR EZZASAFFIQ BINTI ZULKIFLI"</f>
        <v>NUR EZZASAFFIQ BINTI ZULKIFLI</v>
      </c>
      <c r="F58" t="str">
        <f>"001102026538"</f>
        <v>001102026538</v>
      </c>
      <c r="G58" t="str">
        <f>"15102100195168"</f>
        <v>15102100195168</v>
      </c>
      <c r="H58" t="str">
        <f t="shared" si="11"/>
        <v>MYR</v>
      </c>
      <c r="I58" t="str">
        <f t="shared" si="11"/>
        <v>MYR</v>
      </c>
      <c r="J58" t="str">
        <f>"2011-05-18"</f>
        <v>2011-05-18</v>
      </c>
      <c r="K58" t="str">
        <f>"400.00"</f>
        <v>400.00</v>
      </c>
      <c r="L58" t="str">
        <f>"400.00"</f>
        <v>400.00</v>
      </c>
      <c r="M58" t="str">
        <f>"NIL"</f>
        <v>NIL</v>
      </c>
      <c r="N58" t="str">
        <f>"NUR EZZASAFFI"</f>
        <v>NUR EZZASAFFI</v>
      </c>
      <c r="O58" t="str">
        <f>"RHB BANK"</f>
        <v>RHB BANK</v>
      </c>
      <c r="P58" t="str">
        <f>"RHBBMYKL"</f>
        <v>RHBBMYKL</v>
      </c>
      <c r="Q58" t="str">
        <f t="shared" si="10"/>
        <v>NIL</v>
      </c>
      <c r="R58" t="str">
        <f>"putrialyssa@yahoo.com"</f>
        <v>putrialyssa@yahoo.com</v>
      </c>
      <c r="S58" t="str">
        <f>"iPAY to NUR EZZASAFFI (RHB BANK: 15102100195168) (Ref No: 270114158171)"</f>
        <v>iPAY to NUR EZZASAFFI (RHB BANK: 15102100195168) (Ref No: 270114158171)</v>
      </c>
      <c r="T58" t="str">
        <f t="shared" si="1"/>
        <v>2014-01-27</v>
      </c>
      <c r="U58" t="s">
        <v>32</v>
      </c>
      <c r="V58" t="str">
        <f>"Successful"</f>
        <v>Successful</v>
      </c>
      <c r="W58" t="str">
        <f>"270114158171"</f>
        <v>270114158171</v>
      </c>
      <c r="X58" t="str">
        <f t="shared" si="12"/>
        <v>219.93.33.173</v>
      </c>
    </row>
    <row r="59" spans="1:24">
      <c r="A59" t="s">
        <v>82</v>
      </c>
      <c r="B59" t="str">
        <f>"27/01/2014 09:30:12"</f>
        <v>27/01/2014 09:30:12</v>
      </c>
      <c r="C59" t="str">
        <f>"15272"</f>
        <v>15272</v>
      </c>
      <c r="D59" t="str">
        <f>"zailanizain"</f>
        <v>zailanizain</v>
      </c>
      <c r="E59" t="str">
        <f>"MOHD ZAILANI BIN MOHAMED ZAIN"</f>
        <v>MOHD ZAILANI BIN MOHAMED ZAIN</v>
      </c>
      <c r="F59" t="str">
        <f>"001102027852"</f>
        <v>001102027852</v>
      </c>
      <c r="G59" t="str">
        <f>"5433115000727158"</f>
        <v>5433115000727158</v>
      </c>
      <c r="H59" t="str">
        <f t="shared" si="11"/>
        <v>MYR</v>
      </c>
      <c r="I59" t="str">
        <f t="shared" si="11"/>
        <v>MYR</v>
      </c>
      <c r="J59" t="str">
        <f>"NIL"</f>
        <v>NIL</v>
      </c>
      <c r="K59" t="str">
        <f>"4138.84"</f>
        <v>4138.84</v>
      </c>
      <c r="L59" t="str">
        <f>"4138.84"</f>
        <v>4138.84</v>
      </c>
      <c r="M59" t="str">
        <f>"hh ct bank"</f>
        <v>hh ct bank</v>
      </c>
      <c r="N59" t="str">
        <f>"HASLINA HASHIM"</f>
        <v>HASLINA HASHIM</v>
      </c>
      <c r="O59" t="str">
        <f>"CITIBANK"</f>
        <v>CITIBANK</v>
      </c>
      <c r="P59" t="str">
        <f>"CITIMYKL"</f>
        <v>CITIMYKL</v>
      </c>
      <c r="Q59" t="str">
        <f>"part ct Jan 2014"</f>
        <v>part ct Jan 2014</v>
      </c>
      <c r="R59" t="str">
        <f>"haslina@llm.gov.my"</f>
        <v>haslina@llm.gov.my</v>
      </c>
      <c r="S59" t="str">
        <f>"iPAY to HASLINA HASHIM (CITIBANK: 5433115000727158)"</f>
        <v>iPAY to HASLINA HASHIM (CITIBANK: 5433115000727158)</v>
      </c>
      <c r="T59" t="str">
        <f t="shared" si="1"/>
        <v>2014-01-27</v>
      </c>
      <c r="U59" t="s">
        <v>34</v>
      </c>
      <c r="V59" t="str">
        <f>"System error"</f>
        <v>System error</v>
      </c>
      <c r="W59" t="str">
        <f>"NIL"</f>
        <v>NIL</v>
      </c>
      <c r="X59" t="str">
        <f t="shared" si="12"/>
        <v>219.93.33.173</v>
      </c>
    </row>
    <row r="60" spans="1:24">
      <c r="A60" t="s">
        <v>83</v>
      </c>
      <c r="B60" t="str">
        <f>"27/01/2014 09:30:20"</f>
        <v>27/01/2014 09:30:20</v>
      </c>
      <c r="C60" t="str">
        <f>"7218"</f>
        <v>7218</v>
      </c>
      <c r="D60" t="str">
        <f>"intanabila"</f>
        <v>intanabila</v>
      </c>
      <c r="E60" t="str">
        <f>"INTAN NABILAH BINTI GHAZALI"</f>
        <v>INTAN NABILAH BINTI GHAZALI</v>
      </c>
      <c r="F60" t="str">
        <f>"008102002445"</f>
        <v>008102002445</v>
      </c>
      <c r="G60" t="str">
        <f>"12051367820529"</f>
        <v>12051367820529</v>
      </c>
      <c r="H60" t="str">
        <f t="shared" si="11"/>
        <v>MYR</v>
      </c>
      <c r="I60" t="str">
        <f t="shared" si="11"/>
        <v>MYR</v>
      </c>
      <c r="J60" t="str">
        <f>"2011-04-03"</f>
        <v>2011-04-03</v>
      </c>
      <c r="K60" t="str">
        <f>"139.00"</f>
        <v>139.00</v>
      </c>
      <c r="L60" t="str">
        <f>"139.00"</f>
        <v>139.00</v>
      </c>
      <c r="M60" t="str">
        <f>"canister"</f>
        <v>canister</v>
      </c>
      <c r="N60" t="str">
        <f>"NOR SALIHAH"</f>
        <v>NOR SALIHAH</v>
      </c>
      <c r="O60" t="str">
        <f>"CIMB BANK"</f>
        <v>CIMB BANK</v>
      </c>
      <c r="P60" t="str">
        <f>"CIBBMYKL"</f>
        <v>CIBBMYKL</v>
      </c>
      <c r="Q60" t="str">
        <f>"NIL"</f>
        <v>NIL</v>
      </c>
      <c r="R60" t="str">
        <f>"salishamir@gmail.com"</f>
        <v>salishamir@gmail.com</v>
      </c>
      <c r="S60" t="str">
        <f>"iPAY to NOR SALIHAH (CIMB BANK: 12051367820529) (Ref No: 270114158175)"</f>
        <v>iPAY to NOR SALIHAH (CIMB BANK: 12051367820529) (Ref No: 270114158175)</v>
      </c>
      <c r="T60" t="str">
        <f t="shared" si="1"/>
        <v>2014-01-27</v>
      </c>
      <c r="U60" t="s">
        <v>32</v>
      </c>
      <c r="V60" t="str">
        <f>"Successful"</f>
        <v>Successful</v>
      </c>
      <c r="W60" t="str">
        <f>"270114158175"</f>
        <v>270114158175</v>
      </c>
      <c r="X60" t="str">
        <f t="shared" si="12"/>
        <v>219.93.33.173</v>
      </c>
    </row>
    <row r="61" spans="1:24">
      <c r="A61" t="s">
        <v>84</v>
      </c>
      <c r="B61" t="str">
        <f>"27/01/2014 09:31:55"</f>
        <v>27/01/2014 09:31:55</v>
      </c>
      <c r="C61" t="str">
        <f>"1329"</f>
        <v>1329</v>
      </c>
      <c r="D61" t="str">
        <f>"rosita2906"</f>
        <v>rosita2906</v>
      </c>
      <c r="E61" t="str">
        <f>"ROSITA BINTI KHALIM"</f>
        <v>ROSITA BINTI KHALIM</v>
      </c>
      <c r="F61" t="str">
        <f>"001103001159"</f>
        <v>001103001159</v>
      </c>
      <c r="G61" t="str">
        <f>"112213114830"</f>
        <v>112213114830</v>
      </c>
      <c r="H61" t="str">
        <f t="shared" si="11"/>
        <v>MYR</v>
      </c>
      <c r="I61" t="str">
        <f t="shared" si="11"/>
        <v>MYR</v>
      </c>
      <c r="J61" t="str">
        <f>"2008-01-08"</f>
        <v>2008-01-08</v>
      </c>
      <c r="K61" t="str">
        <f>"200.00"</f>
        <v>200.00</v>
      </c>
      <c r="L61" t="str">
        <f>"200.00"</f>
        <v>200.00</v>
      </c>
      <c r="M61" t="str">
        <f t="shared" ref="M61:M67" si="13">"NIL"</f>
        <v>NIL</v>
      </c>
      <c r="N61" t="str">
        <f>"ROSLAILI BT KHALIM"</f>
        <v>ROSLAILI BT KHALIM</v>
      </c>
      <c r="O61" t="str">
        <f>"MAYBANK"</f>
        <v>MAYBANK</v>
      </c>
      <c r="P61" t="str">
        <f>"MBBEMYKL"</f>
        <v>MBBEMYKL</v>
      </c>
      <c r="Q61" t="str">
        <f>"NIL"</f>
        <v>NIL</v>
      </c>
      <c r="R61" t="str">
        <f>"NIL"</f>
        <v>NIL</v>
      </c>
      <c r="S61" t="str">
        <f>"iPAY to ROSLAILI BT KHALIM (MAYBANK: 112213114830) (Ref No: 270114158180)"</f>
        <v>iPAY to ROSLAILI BT KHALIM (MAYBANK: 112213114830) (Ref No: 270114158180)</v>
      </c>
      <c r="T61" t="str">
        <f t="shared" si="1"/>
        <v>2014-01-27</v>
      </c>
      <c r="U61" t="s">
        <v>32</v>
      </c>
      <c r="V61" t="str">
        <f>"Successful"</f>
        <v>Successful</v>
      </c>
      <c r="W61" t="str">
        <f>"270114158180"</f>
        <v>270114158180</v>
      </c>
      <c r="X61" t="str">
        <f t="shared" si="12"/>
        <v>219.93.33.173</v>
      </c>
    </row>
    <row r="62" spans="1:24">
      <c r="A62" t="s">
        <v>85</v>
      </c>
      <c r="B62" t="str">
        <f>"27/01/2014 09:35:04"</f>
        <v>27/01/2014 09:35:04</v>
      </c>
      <c r="C62" t="str">
        <f>"46929"</f>
        <v>46929</v>
      </c>
      <c r="D62" t="str">
        <f>"shazirah"</f>
        <v>shazirah</v>
      </c>
      <c r="E62" t="str">
        <f>"SHAZIRAH BINTI ISMAIL"</f>
        <v>SHAZIRAH BINTI ISMAIL</v>
      </c>
      <c r="F62" t="str">
        <f>"011103005152"</f>
        <v>011103005152</v>
      </c>
      <c r="G62" t="str">
        <f>"12610003509201"</f>
        <v>12610003509201</v>
      </c>
      <c r="H62" t="str">
        <f t="shared" si="11"/>
        <v>MYR</v>
      </c>
      <c r="I62" t="str">
        <f t="shared" si="11"/>
        <v>MYR</v>
      </c>
      <c r="J62" t="str">
        <f>"2012-09-27"</f>
        <v>2012-09-27</v>
      </c>
      <c r="K62" t="str">
        <f>"100.00"</f>
        <v>100.00</v>
      </c>
      <c r="L62" t="str">
        <f>"100.00"</f>
        <v>100.00</v>
      </c>
      <c r="M62" t="str">
        <f t="shared" si="13"/>
        <v>NIL</v>
      </c>
      <c r="N62" t="str">
        <f>"WAFAA MOHD HU"</f>
        <v>WAFAA MOHD HU</v>
      </c>
      <c r="O62" t="str">
        <f>"CIMB BANK"</f>
        <v>CIMB BANK</v>
      </c>
      <c r="P62" t="str">
        <f>"CIBBMYKL"</f>
        <v>CIBBMYKL</v>
      </c>
      <c r="Q62" t="str">
        <f>"Feb14"</f>
        <v>Feb14</v>
      </c>
      <c r="R62" t="str">
        <f>"why.tmec@gmail.com"</f>
        <v>why.tmec@gmail.com</v>
      </c>
      <c r="S62" t="str">
        <f>"iPAY to WAFAA MOHD HU (CIMB BANK: 12610003509201) (Ref No: 270114158188)"</f>
        <v>iPAY to WAFAA MOHD HU (CIMB BANK: 12610003509201) (Ref No: 270114158188)</v>
      </c>
      <c r="T62" t="str">
        <f t="shared" si="1"/>
        <v>2014-01-27</v>
      </c>
      <c r="U62" t="s">
        <v>32</v>
      </c>
      <c r="V62" t="str">
        <f>"Successful"</f>
        <v>Successful</v>
      </c>
      <c r="W62" t="str">
        <f>"270114158188"</f>
        <v>270114158188</v>
      </c>
      <c r="X62" t="str">
        <f>"110.159.124.31"</f>
        <v>110.159.124.31</v>
      </c>
    </row>
    <row r="63" spans="1:24">
      <c r="A63" t="s">
        <v>86</v>
      </c>
      <c r="B63" t="str">
        <f>"27/01/2014 09:36:00"</f>
        <v>27/01/2014 09:36:00</v>
      </c>
      <c r="C63" t="str">
        <f>"46929"</f>
        <v>46929</v>
      </c>
      <c r="D63" t="str">
        <f>"shazirah"</f>
        <v>shazirah</v>
      </c>
      <c r="E63" t="str">
        <f>"SHAZIRAH BINTI ISMAIL"</f>
        <v>SHAZIRAH BINTI ISMAIL</v>
      </c>
      <c r="F63" t="str">
        <f>"011103005152"</f>
        <v>011103005152</v>
      </c>
      <c r="G63" t="str">
        <f>"12930007296525"</f>
        <v>12930007296525</v>
      </c>
      <c r="H63" t="str">
        <f t="shared" si="11"/>
        <v>MYR</v>
      </c>
      <c r="I63" t="str">
        <f t="shared" si="11"/>
        <v>MYR</v>
      </c>
      <c r="J63" t="str">
        <f>"2012-09-27"</f>
        <v>2012-09-27</v>
      </c>
      <c r="K63" t="str">
        <f>"210.00"</f>
        <v>210.00</v>
      </c>
      <c r="L63" t="str">
        <f>"210.00"</f>
        <v>210.00</v>
      </c>
      <c r="M63" t="str">
        <f t="shared" si="13"/>
        <v>NIL</v>
      </c>
      <c r="N63" t="str">
        <f>"NURBAYANI BIN"</f>
        <v>NURBAYANI BIN</v>
      </c>
      <c r="O63" t="str">
        <f>"CIMB BANK"</f>
        <v>CIMB BANK</v>
      </c>
      <c r="P63" t="str">
        <f>"CIBBMYKL"</f>
        <v>CIBBMYKL</v>
      </c>
      <c r="Q63" t="str">
        <f>"NIL"</f>
        <v>NIL</v>
      </c>
      <c r="R63" t="str">
        <f>"NIL"</f>
        <v>NIL</v>
      </c>
      <c r="S63" t="str">
        <f>"iPAY to NURBAYANI BIN (CIMB BANK: 12930007296525) (Ref No: 270114158191)"</f>
        <v>iPAY to NURBAYANI BIN (CIMB BANK: 12930007296525) (Ref No: 270114158191)</v>
      </c>
      <c r="T63" t="str">
        <f t="shared" si="1"/>
        <v>2014-01-27</v>
      </c>
      <c r="U63" t="s">
        <v>32</v>
      </c>
      <c r="V63" t="str">
        <f>"Successful"</f>
        <v>Successful</v>
      </c>
      <c r="W63" t="str">
        <f>"270114158191"</f>
        <v>270114158191</v>
      </c>
      <c r="X63" t="str">
        <f>"110.159.124.31"</f>
        <v>110.159.124.31</v>
      </c>
    </row>
    <row r="64" spans="1:24">
      <c r="A64" t="s">
        <v>87</v>
      </c>
      <c r="B64" t="str">
        <f>"27/01/2014 09:36:56"</f>
        <v>27/01/2014 09:36:56</v>
      </c>
      <c r="C64" t="str">
        <f>"46929"</f>
        <v>46929</v>
      </c>
      <c r="D64" t="str">
        <f>"shazirah"</f>
        <v>shazirah</v>
      </c>
      <c r="E64" t="str">
        <f>"SHAZIRAH BINTI ISMAIL"</f>
        <v>SHAZIRAH BINTI ISMAIL</v>
      </c>
      <c r="F64" t="str">
        <f>"011103005152"</f>
        <v>011103005152</v>
      </c>
      <c r="G64" t="str">
        <f>"2005511000027600"</f>
        <v>2005511000027600</v>
      </c>
      <c r="H64" t="str">
        <f t="shared" si="11"/>
        <v>MYR</v>
      </c>
      <c r="I64" t="str">
        <f t="shared" si="11"/>
        <v>MYR</v>
      </c>
      <c r="J64" t="str">
        <f>"NIL"</f>
        <v>NIL</v>
      </c>
      <c r="K64" t="str">
        <f>"20.00"</f>
        <v>20.00</v>
      </c>
      <c r="L64" t="str">
        <f>"20.00"</f>
        <v>20.00</v>
      </c>
      <c r="M64" t="str">
        <f t="shared" si="13"/>
        <v>NIL</v>
      </c>
      <c r="N64" t="str">
        <f>"MOHD OSMAN IBRAHIM"</f>
        <v>MOHD OSMAN IBRAHIM</v>
      </c>
      <c r="O64" t="str">
        <f>"AGROBANK"</f>
        <v>AGROBANK</v>
      </c>
      <c r="P64" t="str">
        <f>"AGOBMYK1"</f>
        <v>AGOBMYK1</v>
      </c>
      <c r="Q64" t="str">
        <f>"NIL"</f>
        <v>NIL</v>
      </c>
      <c r="R64" t="str">
        <f>"suzanas_1227@yahoo.com"</f>
        <v>suzanas_1227@yahoo.com</v>
      </c>
      <c r="S64" t="str">
        <f>"iPAY to MOHD OSMAN IBRAHIM (AGROBANK: 2005511000027600)"</f>
        <v>iPAY to MOHD OSMAN IBRAHIM (AGROBANK: 2005511000027600)</v>
      </c>
      <c r="T64" t="str">
        <f t="shared" si="1"/>
        <v>2014-01-27</v>
      </c>
      <c r="U64" t="s">
        <v>34</v>
      </c>
      <c r="V64" t="str">
        <f>"System error"</f>
        <v>System error</v>
      </c>
      <c r="W64" t="str">
        <f>"NIL"</f>
        <v>NIL</v>
      </c>
      <c r="X64" t="str">
        <f>"110.159.124.31"</f>
        <v>110.159.124.31</v>
      </c>
    </row>
    <row r="65" spans="1:24">
      <c r="A65" t="s">
        <v>88</v>
      </c>
      <c r="B65" t="str">
        <f>"27/01/2014 09:36:57"</f>
        <v>27/01/2014 09:36:57</v>
      </c>
      <c r="C65" t="str">
        <f>"31121"</f>
        <v>31121</v>
      </c>
      <c r="D65" t="str">
        <f>"sarirah77"</f>
        <v>sarirah77</v>
      </c>
      <c r="E65" t="str">
        <f>"SARIRAH BINTI AHMAD"</f>
        <v>SARIRAH BINTI AHMAD</v>
      </c>
      <c r="F65" t="str">
        <f>"001102030403"</f>
        <v>001102030403</v>
      </c>
      <c r="G65" t="str">
        <f>"1513176339"</f>
        <v>1513176339</v>
      </c>
      <c r="H65" t="str">
        <f t="shared" si="11"/>
        <v>MYR</v>
      </c>
      <c r="I65" t="str">
        <f t="shared" si="11"/>
        <v>MYR</v>
      </c>
      <c r="J65" t="str">
        <f>"2011-12-01"</f>
        <v>2011-12-01</v>
      </c>
      <c r="K65" t="str">
        <f>"42.00"</f>
        <v>42.00</v>
      </c>
      <c r="L65" t="str">
        <f>"42.00"</f>
        <v>42.00</v>
      </c>
      <c r="M65" t="str">
        <f t="shared" si="13"/>
        <v>NIL</v>
      </c>
      <c r="N65" t="str">
        <f>"NOR RITA BINTI AHMAD"</f>
        <v>NOR RITA BINTI AHMAD</v>
      </c>
      <c r="O65" t="str">
        <f>"UNITED OVERSEAS BANK"</f>
        <v>UNITED OVERSEAS BANK</v>
      </c>
      <c r="P65" t="str">
        <f>"UOVBMYKL"</f>
        <v>UOVBMYKL</v>
      </c>
      <c r="Q65" t="str">
        <f>"NIL"</f>
        <v>NIL</v>
      </c>
      <c r="R65" t="str">
        <f>"norrita.ahmad@uob.com.my"</f>
        <v>norrita.ahmad@uob.com.my</v>
      </c>
      <c r="S65" t="str">
        <f>"iPAY to NOR RITA BINTI AHMAD (UNITED OVERSEAS BANK: 1513176339) (Ref No: 270114158183)"</f>
        <v>iPAY to NOR RITA BINTI AHMAD (UNITED OVERSEAS BANK: 1513176339) (Ref No: 270114158183)</v>
      </c>
      <c r="T65" t="str">
        <f t="shared" si="1"/>
        <v>2014-01-27</v>
      </c>
      <c r="U65" t="s">
        <v>32</v>
      </c>
      <c r="V65" t="str">
        <f>"Successful"</f>
        <v>Successful</v>
      </c>
      <c r="W65" t="str">
        <f>"270114158183"</f>
        <v>270114158183</v>
      </c>
      <c r="X65" t="str">
        <f>"219.93.33.173"</f>
        <v>219.93.33.173</v>
      </c>
    </row>
    <row r="66" spans="1:24">
      <c r="A66" t="s">
        <v>89</v>
      </c>
      <c r="B66" t="str">
        <f>"27/01/2014 09:37:26"</f>
        <v>27/01/2014 09:37:26</v>
      </c>
      <c r="C66" t="str">
        <f>"46929"</f>
        <v>46929</v>
      </c>
      <c r="D66" t="str">
        <f>"shazirah"</f>
        <v>shazirah</v>
      </c>
      <c r="E66" t="str">
        <f>"SHAZIRAH BINTI ISMAIL"</f>
        <v>SHAZIRAH BINTI ISMAIL</v>
      </c>
      <c r="F66" t="str">
        <f>"011103005152"</f>
        <v>011103005152</v>
      </c>
      <c r="G66" t="str">
        <f>"2005511000027600"</f>
        <v>2005511000027600</v>
      </c>
      <c r="H66" t="str">
        <f t="shared" si="11"/>
        <v>MYR</v>
      </c>
      <c r="I66" t="str">
        <f t="shared" si="11"/>
        <v>MYR</v>
      </c>
      <c r="J66" t="str">
        <f>"2012-09-27"</f>
        <v>2012-09-27</v>
      </c>
      <c r="K66" t="str">
        <f>"20.00"</f>
        <v>20.00</v>
      </c>
      <c r="L66" t="str">
        <f>"20.00"</f>
        <v>20.00</v>
      </c>
      <c r="M66" t="str">
        <f t="shared" si="13"/>
        <v>NIL</v>
      </c>
      <c r="N66" t="str">
        <f>"MOHD OSMAN IBRAHIM"</f>
        <v>MOHD OSMAN IBRAHIM</v>
      </c>
      <c r="O66" t="str">
        <f>"AGROBANK"</f>
        <v>AGROBANK</v>
      </c>
      <c r="P66" t="str">
        <f>"AGOBMYK1"</f>
        <v>AGOBMYK1</v>
      </c>
      <c r="Q66" t="str">
        <f>"Feb14"</f>
        <v>Feb14</v>
      </c>
      <c r="R66" t="str">
        <f>"suzanas_1227@yahoo.com"</f>
        <v>suzanas_1227@yahoo.com</v>
      </c>
      <c r="S66" t="str">
        <f>"iPAY to MOHD OSMAN IBRAHIM (AGROBANK: 2005511000027600) (Ref No: 270114158195)"</f>
        <v>iPAY to MOHD OSMAN IBRAHIM (AGROBANK: 2005511000027600) (Ref No: 270114158195)</v>
      </c>
      <c r="T66" t="str">
        <f t="shared" si="1"/>
        <v>2014-01-27</v>
      </c>
      <c r="U66" t="s">
        <v>32</v>
      </c>
      <c r="V66" t="str">
        <f>"Successful"</f>
        <v>Successful</v>
      </c>
      <c r="W66" t="str">
        <f>"270114158195"</f>
        <v>270114158195</v>
      </c>
      <c r="X66" t="str">
        <f>"110.159.124.31"</f>
        <v>110.159.124.31</v>
      </c>
    </row>
    <row r="67" spans="1:24">
      <c r="A67" t="s">
        <v>90</v>
      </c>
      <c r="B67" t="str">
        <f>"27/01/2014 09:37:31"</f>
        <v>27/01/2014 09:37:31</v>
      </c>
      <c r="C67" t="str">
        <f>"34913"</f>
        <v>34913</v>
      </c>
      <c r="D67" t="str">
        <f>"sams288"</f>
        <v>sams288</v>
      </c>
      <c r="E67" t="str">
        <f>"SHAMSUL ARIFFIN BIN MD SHAARI"</f>
        <v>SHAMSUL ARIFFIN BIN MD SHAARI</v>
      </c>
      <c r="F67" t="str">
        <f>"001103014870"</f>
        <v>001103014870</v>
      </c>
      <c r="G67" t="str">
        <f>"2110020002833"</f>
        <v>2110020002833</v>
      </c>
      <c r="H67" t="str">
        <f t="shared" si="11"/>
        <v>MYR</v>
      </c>
      <c r="I67" t="str">
        <f t="shared" si="11"/>
        <v>MYR</v>
      </c>
      <c r="J67" t="str">
        <f>"2012-01-05"</f>
        <v>2012-01-05</v>
      </c>
      <c r="K67" t="str">
        <f>"480.00"</f>
        <v>480.00</v>
      </c>
      <c r="L67" t="str">
        <f>"480.00"</f>
        <v>480.00</v>
      </c>
      <c r="M67" t="str">
        <f t="shared" si="13"/>
        <v>NIL</v>
      </c>
      <c r="N67" t="str">
        <f>"MR SHAMSUL ARIFFIN B MD SH"</f>
        <v>MR SHAMSUL ARIFFIN B MD SH</v>
      </c>
      <c r="O67" t="str">
        <f>"AMBANK"</f>
        <v>AMBANK</v>
      </c>
      <c r="P67" t="str">
        <f>"ARBKMYKL"</f>
        <v>ARBKMYKL</v>
      </c>
      <c r="Q67" t="str">
        <f>"NIL"</f>
        <v>NIL</v>
      </c>
      <c r="R67" t="str">
        <f>"sams288@gmail.com"</f>
        <v>sams288@gmail.com</v>
      </c>
      <c r="S67" t="str">
        <f>"iPAY to MR SHAMSUL ARIFFIN B MD SH (AMBANK: 2110020002833) (Ref No: 270114158186)"</f>
        <v>iPAY to MR SHAMSUL ARIFFIN B MD SH (AMBANK: 2110020002833) (Ref No: 270114158186)</v>
      </c>
      <c r="T67" t="str">
        <f t="shared" si="1"/>
        <v>2014-01-27</v>
      </c>
      <c r="U67" t="s">
        <v>32</v>
      </c>
      <c r="V67" t="str">
        <f>"Successful"</f>
        <v>Successful</v>
      </c>
      <c r="W67" t="str">
        <f>"270114158186"</f>
        <v>270114158186</v>
      </c>
      <c r="X67" t="str">
        <f t="shared" ref="X67:X72" si="14">"219.93.33.173"</f>
        <v>219.93.33.173</v>
      </c>
    </row>
    <row r="68" spans="1:24">
      <c r="A68" t="s">
        <v>91</v>
      </c>
      <c r="B68" t="str">
        <f>"27/01/2014 09:38:51"</f>
        <v>27/01/2014 09:38:51</v>
      </c>
      <c r="C68" t="str">
        <f>"6748"</f>
        <v>6748</v>
      </c>
      <c r="D68" t="str">
        <f>"razalipungut"</f>
        <v>razalipungut</v>
      </c>
      <c r="E68" t="str">
        <f>"RAZALI BIN PUNGUT"</f>
        <v>RAZALI BIN PUNGUT</v>
      </c>
      <c r="F68" t="str">
        <f>"002105001625"</f>
        <v>002105001625</v>
      </c>
      <c r="G68" t="str">
        <f>"832186661590010"</f>
        <v>832186661590010</v>
      </c>
      <c r="H68" t="str">
        <f t="shared" si="11"/>
        <v>MYR</v>
      </c>
      <c r="I68" t="str">
        <f t="shared" si="11"/>
        <v>MYR</v>
      </c>
      <c r="J68" t="str">
        <f>"2010-06-16"</f>
        <v>2010-06-16</v>
      </c>
      <c r="K68" t="str">
        <f>"850.00"</f>
        <v>850.00</v>
      </c>
      <c r="L68" t="str">
        <f>"850.00"</f>
        <v>850.00</v>
      </c>
      <c r="M68" t="str">
        <f>"WMN 1366 "</f>
        <v xml:space="preserve">WMN 1366 </v>
      </c>
      <c r="N68" t="str">
        <f>"RAZALI BIN PUNGUT"</f>
        <v>RAZALI BIN PUNGUT</v>
      </c>
      <c r="O68" t="str">
        <f>"PUBLIC BANK"</f>
        <v>PUBLIC BANK</v>
      </c>
      <c r="P68" t="str">
        <f>"PBBEMYKL"</f>
        <v>PBBEMYKL</v>
      </c>
      <c r="Q68" t="str">
        <f>"RAZALI PUNGUT"</f>
        <v>RAZALI PUNGUT</v>
      </c>
      <c r="R68" t="str">
        <f>"razalihjpungut@yahoo.com"</f>
        <v>razalihjpungut@yahoo.com</v>
      </c>
      <c r="S68" t="str">
        <f>"iPAY to RAZALI BIN PUNGUT (PUBLIC BANK: 832186661590010) (Ref No: 270114158200)"</f>
        <v>iPAY to RAZALI BIN PUNGUT (PUBLIC BANK: 832186661590010) (Ref No: 270114158200)</v>
      </c>
      <c r="T68" t="str">
        <f t="shared" si="1"/>
        <v>2014-01-27</v>
      </c>
      <c r="U68" t="s">
        <v>32</v>
      </c>
      <c r="V68" t="str">
        <f>"Successful"</f>
        <v>Successful</v>
      </c>
      <c r="W68" t="str">
        <f>"270114158200"</f>
        <v>270114158200</v>
      </c>
      <c r="X68" t="str">
        <f t="shared" si="14"/>
        <v>219.93.33.173</v>
      </c>
    </row>
    <row r="69" spans="1:24">
      <c r="A69" t="s">
        <v>92</v>
      </c>
      <c r="B69" t="str">
        <f>"27/01/2014 09:39:12"</f>
        <v>27/01/2014 09:39:12</v>
      </c>
      <c r="C69" t="str">
        <f>"7449"</f>
        <v>7449</v>
      </c>
      <c r="D69" t="str">
        <f>"Zuri_1983"</f>
        <v>Zuri_1983</v>
      </c>
      <c r="E69" t="str">
        <f>"ZURI FAZILA BINTI AHMAD"</f>
        <v>ZURI FAZILA BINTI AHMAD</v>
      </c>
      <c r="F69" t="str">
        <f>"007102003334"</f>
        <v>007102003334</v>
      </c>
      <c r="G69" t="str">
        <f>"11013080083680"</f>
        <v>11013080083680</v>
      </c>
      <c r="H69" t="str">
        <f t="shared" si="11"/>
        <v>MYR</v>
      </c>
      <c r="I69" t="str">
        <f t="shared" si="11"/>
        <v>MYR</v>
      </c>
      <c r="J69" t="str">
        <f>"NIL"</f>
        <v>NIL</v>
      </c>
      <c r="K69" t="str">
        <f>"510.00"</f>
        <v>510.00</v>
      </c>
      <c r="L69" t="str">
        <f>"510.00"</f>
        <v>510.00</v>
      </c>
      <c r="M69" t="str">
        <f>"pf bank islam pymnt"</f>
        <v>pf bank islam pymnt</v>
      </c>
      <c r="N69" t="str">
        <f>"CIK ZURI FAZILA BINTI AHMA"</f>
        <v>CIK ZURI FAZILA BINTI AHMA</v>
      </c>
      <c r="O69" t="str">
        <f>"BANK ISLAM MALAYSIA BHD"</f>
        <v>BANK ISLAM MALAYSIA BHD</v>
      </c>
      <c r="P69" t="str">
        <f>"BIMBMYKL"</f>
        <v>BIMBMYKL</v>
      </c>
      <c r="Q69" t="str">
        <f>"NIL"</f>
        <v>NIL</v>
      </c>
      <c r="R69" t="str">
        <f>"NIL"</f>
        <v>NIL</v>
      </c>
      <c r="S69" t="str">
        <f>"iPAY to CIK ZURI FAZILA BINTI AHMA (BANK ISLAM MALAYSIA BHD: 11013080083680)"</f>
        <v>iPAY to CIK ZURI FAZILA BINTI AHMA (BANK ISLAM MALAYSIA BHD: 11013080083680)</v>
      </c>
      <c r="T69" t="str">
        <f t="shared" si="1"/>
        <v>2014-01-27</v>
      </c>
      <c r="U69" t="s">
        <v>34</v>
      </c>
      <c r="V69" t="str">
        <f>"System error"</f>
        <v>System error</v>
      </c>
      <c r="W69" t="str">
        <f>"NIL"</f>
        <v>NIL</v>
      </c>
      <c r="X69" t="str">
        <f t="shared" si="14"/>
        <v>219.93.33.173</v>
      </c>
    </row>
    <row r="70" spans="1:24">
      <c r="A70" t="s">
        <v>93</v>
      </c>
      <c r="B70" t="str">
        <f>"27/01/2014 09:41:12"</f>
        <v>27/01/2014 09:41:12</v>
      </c>
      <c r="C70" t="str">
        <f>"2445"</f>
        <v>2445</v>
      </c>
      <c r="D70" t="str">
        <f>"tk2882"</f>
        <v>tk2882</v>
      </c>
      <c r="E70" t="str">
        <f>"TENGKU KHALIZUL BIN TENGKU KHALID"</f>
        <v>TENGKU KHALIZUL BIN TENGKU KHALID</v>
      </c>
      <c r="F70" t="str">
        <f>"002102000980"</f>
        <v>002102000980</v>
      </c>
      <c r="G70" t="str">
        <f>"530002419505"</f>
        <v>530002419505</v>
      </c>
      <c r="H70" t="str">
        <f t="shared" ref="H70:I89" si="15">"MYR"</f>
        <v>MYR</v>
      </c>
      <c r="I70" t="str">
        <f t="shared" si="15"/>
        <v>MYR</v>
      </c>
      <c r="J70" t="str">
        <f>"NIL"</f>
        <v>NIL</v>
      </c>
      <c r="K70" t="str">
        <f>"2172.00"</f>
        <v>2172.00</v>
      </c>
      <c r="L70" t="str">
        <f>"2172.00"</f>
        <v>2172.00</v>
      </c>
      <c r="M70" t="str">
        <f>"hp instalment"</f>
        <v>hp instalment</v>
      </c>
      <c r="N70" t="str">
        <f>"NOORDIANA BINTI ISMA"</f>
        <v>NOORDIANA BINTI ISMA</v>
      </c>
      <c r="O70" t="str">
        <f>"CIMB BANK"</f>
        <v>CIMB BANK</v>
      </c>
      <c r="P70" t="str">
        <f>"CIBBMYKL"</f>
        <v>CIBBMYKL</v>
      </c>
      <c r="Q70" t="str">
        <f>"TBD61"</f>
        <v>TBD61</v>
      </c>
      <c r="R70" t="str">
        <f>"noordiana.ismail@berjayahotel.com"</f>
        <v>noordiana.ismail@berjayahotel.com</v>
      </c>
      <c r="S70" t="str">
        <f>"iPAY to NOORDIANA BINTI ISMA (CIMB BANK: 530002419505)"</f>
        <v>iPAY to NOORDIANA BINTI ISMA (CIMB BANK: 530002419505)</v>
      </c>
      <c r="T70" t="str">
        <f t="shared" si="1"/>
        <v>2014-01-27</v>
      </c>
      <c r="U70" t="s">
        <v>34</v>
      </c>
      <c r="V70" t="str">
        <f>"System error"</f>
        <v>System error</v>
      </c>
      <c r="W70" t="str">
        <f>"NIL"</f>
        <v>NIL</v>
      </c>
      <c r="X70" t="str">
        <f t="shared" si="14"/>
        <v>219.93.33.173</v>
      </c>
    </row>
    <row r="71" spans="1:24">
      <c r="A71" t="s">
        <v>94</v>
      </c>
      <c r="B71" t="str">
        <f>"27/01/2014 09:42:44"</f>
        <v>27/01/2014 09:42:44</v>
      </c>
      <c r="C71" t="str">
        <f>"6748"</f>
        <v>6748</v>
      </c>
      <c r="D71" t="str">
        <f>"razalipungut"</f>
        <v>razalipungut</v>
      </c>
      <c r="E71" t="str">
        <f>"RAZALI BIN PUNGUT"</f>
        <v>RAZALI BIN PUNGUT</v>
      </c>
      <c r="F71" t="str">
        <f>"002105001625"</f>
        <v>002105001625</v>
      </c>
      <c r="G71" t="str">
        <f>"842939262090010"</f>
        <v>842939262090010</v>
      </c>
      <c r="H71" t="str">
        <f t="shared" si="15"/>
        <v>MYR</v>
      </c>
      <c r="I71" t="str">
        <f t="shared" si="15"/>
        <v>MYR</v>
      </c>
      <c r="J71" t="str">
        <f>"2010-06-16"</f>
        <v>2010-06-16</v>
      </c>
      <c r="K71" t="str">
        <f>"450.00"</f>
        <v>450.00</v>
      </c>
      <c r="L71" t="str">
        <f>"450.00"</f>
        <v>450.00</v>
      </c>
      <c r="M71" t="str">
        <f>"NUR KHADIJAH RAZALI"</f>
        <v>NUR KHADIJAH RAZALI</v>
      </c>
      <c r="N71" t="str">
        <f>"NUR KHADIJAH BINTI RAZAL"</f>
        <v>NUR KHADIJAH BINTI RAZAL</v>
      </c>
      <c r="O71" t="str">
        <f>"PUBLIC BANK"</f>
        <v>PUBLIC BANK</v>
      </c>
      <c r="P71" t="str">
        <f>"PBBEMYKL"</f>
        <v>PBBEMYKL</v>
      </c>
      <c r="Q71" t="str">
        <f>"NCE 594"</f>
        <v>NCE 594</v>
      </c>
      <c r="R71" t="str">
        <f>"razalihjpungut@yahoo.com"</f>
        <v>razalihjpungut@yahoo.com</v>
      </c>
      <c r="S71" t="str">
        <f>"iPAY to NUR KHADIJAH BINTI RAZAL (PUBLIC BANK: 842939262090010) (Ref No: 270114158208)"</f>
        <v>iPAY to NUR KHADIJAH BINTI RAZAL (PUBLIC BANK: 842939262090010) (Ref No: 270114158208)</v>
      </c>
      <c r="T71" t="str">
        <f t="shared" si="1"/>
        <v>2014-01-27</v>
      </c>
      <c r="U71" t="s">
        <v>32</v>
      </c>
      <c r="V71" t="str">
        <f>"Successful"</f>
        <v>Successful</v>
      </c>
      <c r="W71" t="str">
        <f>"270114158208"</f>
        <v>270114158208</v>
      </c>
      <c r="X71" t="str">
        <f t="shared" si="14"/>
        <v>219.93.33.173</v>
      </c>
    </row>
    <row r="72" spans="1:24">
      <c r="A72" t="s">
        <v>95</v>
      </c>
      <c r="B72" t="str">
        <f>"27/01/2014 09:44:17"</f>
        <v>27/01/2014 09:44:17</v>
      </c>
      <c r="C72" t="str">
        <f>"6748"</f>
        <v>6748</v>
      </c>
      <c r="D72" t="str">
        <f>"razalipungut"</f>
        <v>razalipungut</v>
      </c>
      <c r="E72" t="str">
        <f>"RAZALI BIN PUNGUT"</f>
        <v>RAZALI BIN PUNGUT</v>
      </c>
      <c r="F72" t="str">
        <f>"002105001625"</f>
        <v>002105001625</v>
      </c>
      <c r="G72" t="str">
        <f>"12038025459978"</f>
        <v>12038025459978</v>
      </c>
      <c r="H72" t="str">
        <f t="shared" si="15"/>
        <v>MYR</v>
      </c>
      <c r="I72" t="str">
        <f t="shared" si="15"/>
        <v>MYR</v>
      </c>
      <c r="J72" t="str">
        <f>"2010-06-16"</f>
        <v>2010-06-16</v>
      </c>
      <c r="K72" t="str">
        <f>"2400.00"</f>
        <v>2400.00</v>
      </c>
      <c r="L72" t="str">
        <f>"2400.00"</f>
        <v>2400.00</v>
      </c>
      <c r="M72" t="str">
        <f>"NIL"</f>
        <v>NIL</v>
      </c>
      <c r="N72" t="str">
        <f>"ENCIK RAZALI BIN PUNGUT"</f>
        <v>ENCIK RAZALI BIN PUNGUT</v>
      </c>
      <c r="O72" t="str">
        <f>"BANK ISLAM MALAYSIA BHD"</f>
        <v>BANK ISLAM MALAYSIA BHD</v>
      </c>
      <c r="P72" t="str">
        <f>"BIMBMYKL"</f>
        <v>BIMBMYKL</v>
      </c>
      <c r="Q72" t="str">
        <f>"RP"</f>
        <v>RP</v>
      </c>
      <c r="R72" t="str">
        <f>"razalihjpungut@yahoo.com"</f>
        <v>razalihjpungut@yahoo.com</v>
      </c>
      <c r="S72" t="str">
        <f>"iPAY to ENCIK RAZALI BIN PUNGUT (BANK ISLAM MALAYSIA BHD: 12038025459978) (Ref No: 270114158216)"</f>
        <v>iPAY to ENCIK RAZALI BIN PUNGUT (BANK ISLAM MALAYSIA BHD: 12038025459978) (Ref No: 270114158216)</v>
      </c>
      <c r="T72" t="str">
        <f t="shared" si="1"/>
        <v>2014-01-27</v>
      </c>
      <c r="U72" t="s">
        <v>32</v>
      </c>
      <c r="V72" t="str">
        <f>"Successful"</f>
        <v>Successful</v>
      </c>
      <c r="W72" t="str">
        <f>"270114158216"</f>
        <v>270114158216</v>
      </c>
      <c r="X72" t="str">
        <f t="shared" si="14"/>
        <v>219.93.33.173</v>
      </c>
    </row>
    <row r="73" spans="1:24">
      <c r="A73" t="s">
        <v>96</v>
      </c>
      <c r="B73" t="str">
        <f>"27/01/2014 09:45:13"</f>
        <v>27/01/2014 09:45:13</v>
      </c>
      <c r="C73" t="str">
        <f>"6827"</f>
        <v>6827</v>
      </c>
      <c r="D73" t="str">
        <f>"s_indhu82"</f>
        <v>s_indhu82</v>
      </c>
      <c r="E73" t="str">
        <f>"INDHU MATHI A/P SINNASAMY"</f>
        <v>INDHU MATHI A/P SINNASAMY</v>
      </c>
      <c r="F73" t="str">
        <f>"001102017687"</f>
        <v>001102017687</v>
      </c>
      <c r="G73" t="str">
        <f>"112223181821"</f>
        <v>112223181821</v>
      </c>
      <c r="H73" t="str">
        <f t="shared" si="15"/>
        <v>MYR</v>
      </c>
      <c r="I73" t="str">
        <f t="shared" si="15"/>
        <v>MYR</v>
      </c>
      <c r="J73" t="str">
        <f>"2010-06-29"</f>
        <v>2010-06-29</v>
      </c>
      <c r="K73" t="str">
        <f>"900.00"</f>
        <v>900.00</v>
      </c>
      <c r="L73" t="str">
        <f>"900.00"</f>
        <v>900.00</v>
      </c>
      <c r="M73" t="str">
        <f>"NIL"</f>
        <v>NIL</v>
      </c>
      <c r="N73" t="str">
        <f>"INDHU MATHI A/P SINN"</f>
        <v>INDHU MATHI A/P SINN</v>
      </c>
      <c r="O73" t="str">
        <f>"MAYBANK"</f>
        <v>MAYBANK</v>
      </c>
      <c r="P73" t="str">
        <f>"MBBEMYKL"</f>
        <v>MBBEMYKL</v>
      </c>
      <c r="Q73" t="str">
        <f>"NIL"</f>
        <v>NIL</v>
      </c>
      <c r="R73" t="str">
        <f>"indhu@email.com"</f>
        <v>indhu@email.com</v>
      </c>
      <c r="S73" t="str">
        <f>"iPAY to INDHU MATHI A/P SINN (MAYBANK: 112223181821) (Ref No: 270114158205)"</f>
        <v>iPAY to INDHU MATHI A/P SINN (MAYBANK: 112223181821) (Ref No: 270114158205)</v>
      </c>
      <c r="T73" t="str">
        <f t="shared" si="1"/>
        <v>2014-01-27</v>
      </c>
      <c r="U73" t="s">
        <v>32</v>
      </c>
      <c r="V73" t="str">
        <f>"Successful"</f>
        <v>Successful</v>
      </c>
      <c r="W73" t="str">
        <f>"270114158205"</f>
        <v>270114158205</v>
      </c>
      <c r="X73" t="str">
        <f>"202.95.83.93"</f>
        <v>202.95.83.93</v>
      </c>
    </row>
    <row r="74" spans="1:24">
      <c r="A74" t="s">
        <v>97</v>
      </c>
      <c r="B74" t="str">
        <f>"27/01/2014 09:45:41"</f>
        <v>27/01/2014 09:45:41</v>
      </c>
      <c r="C74" t="str">
        <f>"2445"</f>
        <v>2445</v>
      </c>
      <c r="D74" t="str">
        <f>"tk2882"</f>
        <v>tk2882</v>
      </c>
      <c r="E74" t="str">
        <f>"TENGKU KHALIZUL BIN TENGKU KHALID"</f>
        <v>TENGKU KHALIZUL BIN TENGKU KHALID</v>
      </c>
      <c r="F74" t="str">
        <f>"002102000980"</f>
        <v>002102000980</v>
      </c>
      <c r="G74" t="str">
        <f>"530002419505"</f>
        <v>530002419505</v>
      </c>
      <c r="H74" t="str">
        <f t="shared" si="15"/>
        <v>MYR</v>
      </c>
      <c r="I74" t="str">
        <f t="shared" si="15"/>
        <v>MYR</v>
      </c>
      <c r="J74" t="str">
        <f>"NIL"</f>
        <v>NIL</v>
      </c>
      <c r="K74" t="str">
        <f>"2172.00"</f>
        <v>2172.00</v>
      </c>
      <c r="L74" t="str">
        <f>"2172.00"</f>
        <v>2172.00</v>
      </c>
      <c r="M74" t="str">
        <f>"hp instalment"</f>
        <v>hp instalment</v>
      </c>
      <c r="N74" t="str">
        <f>"NOORDIANA BINTI ISMA"</f>
        <v>NOORDIANA BINTI ISMA</v>
      </c>
      <c r="O74" t="str">
        <f>"CIMB BANK"</f>
        <v>CIMB BANK</v>
      </c>
      <c r="P74" t="str">
        <f>"CIBBMYKL"</f>
        <v>CIBBMYKL</v>
      </c>
      <c r="Q74" t="str">
        <f>"TBD61"</f>
        <v>TBD61</v>
      </c>
      <c r="R74" t="str">
        <f>"noordiana.ismail@berjayahotel.com"</f>
        <v>noordiana.ismail@berjayahotel.com</v>
      </c>
      <c r="S74" t="str">
        <f>"iPAY to NOORDIANA BINTI ISMA (CIMB BANK: 530002419505)"</f>
        <v>iPAY to NOORDIANA BINTI ISMA (CIMB BANK: 530002419505)</v>
      </c>
      <c r="T74" t="str">
        <f t="shared" ref="T74:T137" si="16">"2014-01-27"</f>
        <v>2014-01-27</v>
      </c>
      <c r="U74" t="s">
        <v>34</v>
      </c>
      <c r="V74" t="str">
        <f>"System error"</f>
        <v>System error</v>
      </c>
      <c r="W74" t="str">
        <f>"NIL"</f>
        <v>NIL</v>
      </c>
      <c r="X74" t="str">
        <f t="shared" ref="X74:X87" si="17">"219.93.33.173"</f>
        <v>219.93.33.173</v>
      </c>
    </row>
    <row r="75" spans="1:24">
      <c r="A75" t="s">
        <v>98</v>
      </c>
      <c r="B75" t="str">
        <f>"27/01/2014 09:46:03"</f>
        <v>27/01/2014 09:46:03</v>
      </c>
      <c r="C75" t="str">
        <f>"27165"</f>
        <v>27165</v>
      </c>
      <c r="D75" t="str">
        <f>"azrisyafiq8896"</f>
        <v>azrisyafiq8896</v>
      </c>
      <c r="E75" t="str">
        <f>"AZRI SYAFIQ BIN AZMAN"</f>
        <v>AZRI SYAFIQ BIN AZMAN</v>
      </c>
      <c r="F75" t="str">
        <f>"001103013718"</f>
        <v>001103013718</v>
      </c>
      <c r="G75" t="str">
        <f>"220391287330"</f>
        <v>220391287330</v>
      </c>
      <c r="H75" t="str">
        <f t="shared" si="15"/>
        <v>MYR</v>
      </c>
      <c r="I75" t="str">
        <f t="shared" si="15"/>
        <v>MYR</v>
      </c>
      <c r="J75" t="str">
        <f>"2011-11-01"</f>
        <v>2011-11-01</v>
      </c>
      <c r="K75" t="str">
        <f>"253.00"</f>
        <v>253.00</v>
      </c>
      <c r="L75" t="str">
        <f>"253.00"</f>
        <v>253.00</v>
      </c>
      <c r="M75" t="str">
        <f>"NIL"</f>
        <v>NIL</v>
      </c>
      <c r="N75" t="str">
        <f>"AZRI SYAFIQ BIN AZMAN"</f>
        <v>AZRI SYAFIQ BIN AZMAN</v>
      </c>
      <c r="O75" t="str">
        <f>"BANK RAKYAT"</f>
        <v>BANK RAKYAT</v>
      </c>
      <c r="P75" t="str">
        <f>"BKRMMYK1"</f>
        <v>BKRMMYK1</v>
      </c>
      <c r="Q75" t="str">
        <f>"NIL"</f>
        <v>NIL</v>
      </c>
      <c r="R75" t="str">
        <f>"azrisyafiq8896@yahoo.com"</f>
        <v>azrisyafiq8896@yahoo.com</v>
      </c>
      <c r="S75" t="str">
        <f>"iPAY to AZRI SYAFIQ BIN AZMAN (BANK RAKYAT: 220391287330) (Ref No: 270114158212)"</f>
        <v>iPAY to AZRI SYAFIQ BIN AZMAN (BANK RAKYAT: 220391287330) (Ref No: 270114158212)</v>
      </c>
      <c r="T75" t="str">
        <f t="shared" si="16"/>
        <v>2014-01-27</v>
      </c>
      <c r="U75" t="s">
        <v>32</v>
      </c>
      <c r="V75" t="str">
        <f>"Successful"</f>
        <v>Successful</v>
      </c>
      <c r="W75" t="str">
        <f>"270114158212"</f>
        <v>270114158212</v>
      </c>
      <c r="X75" t="str">
        <f t="shared" si="17"/>
        <v>219.93.33.173</v>
      </c>
    </row>
    <row r="76" spans="1:24">
      <c r="A76" t="s">
        <v>99</v>
      </c>
      <c r="B76" t="str">
        <f>"27/01/2014 09:47:20"</f>
        <v>27/01/2014 09:47:20</v>
      </c>
      <c r="C76" t="str">
        <f>"27165"</f>
        <v>27165</v>
      </c>
      <c r="D76" t="str">
        <f>"azrisyafiq8896"</f>
        <v>azrisyafiq8896</v>
      </c>
      <c r="E76" t="str">
        <f>"AZRI SYAFIQ BIN AZMAN"</f>
        <v>AZRI SYAFIQ BIN AZMAN</v>
      </c>
      <c r="F76" t="str">
        <f>"001103013718"</f>
        <v>001103013718</v>
      </c>
      <c r="G76" t="str">
        <f>"101007101724637"</f>
        <v>101007101724637</v>
      </c>
      <c r="H76" t="str">
        <f t="shared" si="15"/>
        <v>MYR</v>
      </c>
      <c r="I76" t="str">
        <f t="shared" si="15"/>
        <v>MYR</v>
      </c>
      <c r="J76" t="str">
        <f>"NIL"</f>
        <v>NIL</v>
      </c>
      <c r="K76" t="str">
        <f>"253.00"</f>
        <v>253.00</v>
      </c>
      <c r="L76" t="str">
        <f>"253.00"</f>
        <v>253.00</v>
      </c>
      <c r="M76" t="str">
        <f>"NIL"</f>
        <v>NIL</v>
      </c>
      <c r="N76" t="str">
        <f>"AZRI SYAFIQ BIN AZMAN"</f>
        <v>AZRI SYAFIQ BIN AZMAN</v>
      </c>
      <c r="O76" t="str">
        <f>"AL-RAJHI BANK"</f>
        <v>AL-RAJHI BANK</v>
      </c>
      <c r="P76" t="str">
        <f>"RJHIMYKL"</f>
        <v>RJHIMYKL</v>
      </c>
      <c r="Q76" t="str">
        <f>"NIL"</f>
        <v>NIL</v>
      </c>
      <c r="R76" t="str">
        <f>"azrisyafiq8896@yahoo.com"</f>
        <v>azrisyafiq8896@yahoo.com</v>
      </c>
      <c r="S76" t="str">
        <f>"iPAY to AZRI SYAFIQ BIN AZMAN (AL-RAJHI BANK: 101007101724637)"</f>
        <v>iPAY to AZRI SYAFIQ BIN AZMAN (AL-RAJHI BANK: 101007101724637)</v>
      </c>
      <c r="T76" t="str">
        <f t="shared" si="16"/>
        <v>2014-01-27</v>
      </c>
      <c r="U76" t="s">
        <v>34</v>
      </c>
      <c r="V76" t="str">
        <f>"System error"</f>
        <v>System error</v>
      </c>
      <c r="W76" t="str">
        <f>"NIL"</f>
        <v>NIL</v>
      </c>
      <c r="X76" t="str">
        <f t="shared" si="17"/>
        <v>219.93.33.173</v>
      </c>
    </row>
    <row r="77" spans="1:24">
      <c r="A77" t="s">
        <v>100</v>
      </c>
      <c r="B77" t="str">
        <f>"27/01/2014 09:48:19"</f>
        <v>27/01/2014 09:48:19</v>
      </c>
      <c r="C77" t="str">
        <f>"16284"</f>
        <v>16284</v>
      </c>
      <c r="D77" t="str">
        <f>"bennyezany"</f>
        <v>bennyezany</v>
      </c>
      <c r="E77" t="str">
        <f>"AZANI BIN GHAZALLI"</f>
        <v>AZANI BIN GHAZALLI</v>
      </c>
      <c r="F77" t="str">
        <f>"001103007432"</f>
        <v>001103007432</v>
      </c>
      <c r="G77" t="str">
        <f>"151071102108"</f>
        <v>151071102108</v>
      </c>
      <c r="H77" t="str">
        <f t="shared" si="15"/>
        <v>MYR</v>
      </c>
      <c r="I77" t="str">
        <f t="shared" si="15"/>
        <v>MYR</v>
      </c>
      <c r="J77" t="str">
        <f>"2011-08-01"</f>
        <v>2011-08-01</v>
      </c>
      <c r="K77" t="str">
        <f>"3500.00"</f>
        <v>3500.00</v>
      </c>
      <c r="L77" t="str">
        <f>"3500.00"</f>
        <v>3500.00</v>
      </c>
      <c r="M77" t="str">
        <f>"hutang"</f>
        <v>hutang</v>
      </c>
      <c r="N77" t="str">
        <f>"LIDYAWATI BINTI ABDU"</f>
        <v>LIDYAWATI BINTI ABDU</v>
      </c>
      <c r="O77" t="str">
        <f>"MAYBANK"</f>
        <v>MAYBANK</v>
      </c>
      <c r="P77" t="str">
        <f>"MBBEMYKL"</f>
        <v>MBBEMYKL</v>
      </c>
      <c r="Q77" t="str">
        <f>"NIL"</f>
        <v>NIL</v>
      </c>
      <c r="R77" t="str">
        <f>"benny.ezany@gmail.com"</f>
        <v>benny.ezany@gmail.com</v>
      </c>
      <c r="S77" t="str">
        <f>"iPAY to LIDYAWATI BINTI ABDU (MAYBANK: 151071102108) (Ref No: 270114158219)"</f>
        <v>iPAY to LIDYAWATI BINTI ABDU (MAYBANK: 151071102108) (Ref No: 270114158219)</v>
      </c>
      <c r="T77" t="str">
        <f t="shared" si="16"/>
        <v>2014-01-27</v>
      </c>
      <c r="U77" t="s">
        <v>32</v>
      </c>
      <c r="V77" t="str">
        <f>"Successful"</f>
        <v>Successful</v>
      </c>
      <c r="W77" t="str">
        <f>"270114158219"</f>
        <v>270114158219</v>
      </c>
      <c r="X77" t="str">
        <f t="shared" si="17"/>
        <v>219.93.33.173</v>
      </c>
    </row>
    <row r="78" spans="1:24">
      <c r="A78" t="s">
        <v>101</v>
      </c>
      <c r="B78" t="str">
        <f>"27/01/2014 09:52:49"</f>
        <v>27/01/2014 09:52:49</v>
      </c>
      <c r="C78" t="str">
        <f>"27165"</f>
        <v>27165</v>
      </c>
      <c r="D78" t="str">
        <f>"azrisyafiq8896"</f>
        <v>azrisyafiq8896</v>
      </c>
      <c r="E78" t="str">
        <f>"AZRI SYAFIQ BIN AZMAN"</f>
        <v>AZRI SYAFIQ BIN AZMAN</v>
      </c>
      <c r="F78" t="str">
        <f>"001103013718"</f>
        <v>001103013718</v>
      </c>
      <c r="G78" t="str">
        <f>"101007101724637"</f>
        <v>101007101724637</v>
      </c>
      <c r="H78" t="str">
        <f t="shared" si="15"/>
        <v>MYR</v>
      </c>
      <c r="I78" t="str">
        <f t="shared" si="15"/>
        <v>MYR</v>
      </c>
      <c r="J78" t="str">
        <f>"2011-11-01"</f>
        <v>2011-11-01</v>
      </c>
      <c r="K78" t="str">
        <f>"253.00"</f>
        <v>253.00</v>
      </c>
      <c r="L78" t="str">
        <f>"253.00"</f>
        <v>253.00</v>
      </c>
      <c r="M78" t="str">
        <f>"NIL"</f>
        <v>NIL</v>
      </c>
      <c r="N78" t="str">
        <f>"AZRI SYAFIQ BIN AZMAN"</f>
        <v>AZRI SYAFIQ BIN AZMAN</v>
      </c>
      <c r="O78" t="str">
        <f>"AL-RAJHI BANK"</f>
        <v>AL-RAJHI BANK</v>
      </c>
      <c r="P78" t="str">
        <f>"RJHIMYKL"</f>
        <v>RJHIMYKL</v>
      </c>
      <c r="Q78" t="str">
        <f>"NIL"</f>
        <v>NIL</v>
      </c>
      <c r="R78" t="str">
        <f>"azrisyafiq8896@yahoo.com"</f>
        <v>azrisyafiq8896@yahoo.com</v>
      </c>
      <c r="S78" t="str">
        <f>"iPAY to AZRI SYAFIQ BIN AZMAN (AL-RAJHI BANK: 101007101724637) (Ref No: 270114158223)"</f>
        <v>iPAY to AZRI SYAFIQ BIN AZMAN (AL-RAJHI BANK: 101007101724637) (Ref No: 270114158223)</v>
      </c>
      <c r="T78" t="str">
        <f t="shared" si="16"/>
        <v>2014-01-27</v>
      </c>
      <c r="U78" t="s">
        <v>32</v>
      </c>
      <c r="V78" t="str">
        <f>"Successful"</f>
        <v>Successful</v>
      </c>
      <c r="W78" t="str">
        <f>"270114158223"</f>
        <v>270114158223</v>
      </c>
      <c r="X78" t="str">
        <f t="shared" si="17"/>
        <v>219.93.33.173</v>
      </c>
    </row>
    <row r="79" spans="1:24">
      <c r="A79" t="s">
        <v>102</v>
      </c>
      <c r="B79" t="str">
        <f>"27/01/2014 09:53:58"</f>
        <v>27/01/2014 09:53:58</v>
      </c>
      <c r="C79" t="str">
        <f>"16284"</f>
        <v>16284</v>
      </c>
      <c r="D79" t="str">
        <f>"bennyezany"</f>
        <v>bennyezany</v>
      </c>
      <c r="E79" t="str">
        <f>"AZANI BIN GHAZALLI"</f>
        <v>AZANI BIN GHAZALLI</v>
      </c>
      <c r="F79" t="str">
        <f>"001103007432"</f>
        <v>001103007432</v>
      </c>
      <c r="G79" t="str">
        <f>"164801003835"</f>
        <v>164801003835</v>
      </c>
      <c r="H79" t="str">
        <f t="shared" si="15"/>
        <v>MYR</v>
      </c>
      <c r="I79" t="str">
        <f t="shared" si="15"/>
        <v>MYR</v>
      </c>
      <c r="J79" t="str">
        <f>"2011-08-01"</f>
        <v>2011-08-01</v>
      </c>
      <c r="K79" t="str">
        <f>"800.00"</f>
        <v>800.00</v>
      </c>
      <c r="L79" t="str">
        <f>"800.00"</f>
        <v>800.00</v>
      </c>
      <c r="M79" t="str">
        <f>"dui keta"</f>
        <v>dui keta</v>
      </c>
      <c r="N79" t="str">
        <f>"AZANI BIN GHAZALLI"</f>
        <v>AZANI BIN GHAZALLI</v>
      </c>
      <c r="O79" t="str">
        <f>"MAYBANK"</f>
        <v>MAYBANK</v>
      </c>
      <c r="P79" t="str">
        <f>"MBBEMYKL"</f>
        <v>MBBEMYKL</v>
      </c>
      <c r="Q79" t="str">
        <f>"NIL"</f>
        <v>NIL</v>
      </c>
      <c r="R79" t="str">
        <f>"benny.ezany@gmail.com"</f>
        <v>benny.ezany@gmail.com</v>
      </c>
      <c r="S79" t="str">
        <f>"iPAY to AZANI BIN GHAZALLI (MAYBANK: 164801003835) (Ref No: 270114158226)"</f>
        <v>iPAY to AZANI BIN GHAZALLI (MAYBANK: 164801003835) (Ref No: 270114158226)</v>
      </c>
      <c r="T79" t="str">
        <f t="shared" si="16"/>
        <v>2014-01-27</v>
      </c>
      <c r="U79" t="s">
        <v>32</v>
      </c>
      <c r="V79" t="str">
        <f>"Successful"</f>
        <v>Successful</v>
      </c>
      <c r="W79" t="str">
        <f>"270114158226"</f>
        <v>270114158226</v>
      </c>
      <c r="X79" t="str">
        <f t="shared" si="17"/>
        <v>219.93.33.173</v>
      </c>
    </row>
    <row r="80" spans="1:24">
      <c r="A80" t="s">
        <v>103</v>
      </c>
      <c r="B80" t="str">
        <f>"27/01/2014 09:56:06"</f>
        <v>27/01/2014 09:56:06</v>
      </c>
      <c r="C80" t="str">
        <f>"2445"</f>
        <v>2445</v>
      </c>
      <c r="D80" t="str">
        <f>"tk2882"</f>
        <v>tk2882</v>
      </c>
      <c r="E80" t="str">
        <f>"TENGKU KHALIZUL BIN TENGKU KHALID"</f>
        <v>TENGKU KHALIZUL BIN TENGKU KHALID</v>
      </c>
      <c r="F80" t="str">
        <f>"002102000980"</f>
        <v>002102000980</v>
      </c>
      <c r="G80" t="str">
        <f>"530002419505"</f>
        <v>530002419505</v>
      </c>
      <c r="H80" t="str">
        <f t="shared" si="15"/>
        <v>MYR</v>
      </c>
      <c r="I80" t="str">
        <f t="shared" si="15"/>
        <v>MYR</v>
      </c>
      <c r="J80" t="str">
        <f>"2008-09-24"</f>
        <v>2008-09-24</v>
      </c>
      <c r="K80" t="str">
        <f>"2172.00"</f>
        <v>2172.00</v>
      </c>
      <c r="L80" t="str">
        <f>"2172.00"</f>
        <v>2172.00</v>
      </c>
      <c r="M80" t="str">
        <f>"hp payment"</f>
        <v>hp payment</v>
      </c>
      <c r="N80" t="str">
        <f>"NOORDIANA BINTI ISMA"</f>
        <v>NOORDIANA BINTI ISMA</v>
      </c>
      <c r="O80" t="str">
        <f>"CIMB BANK"</f>
        <v>CIMB BANK</v>
      </c>
      <c r="P80" t="str">
        <f>"CIBBMYKL"</f>
        <v>CIBBMYKL</v>
      </c>
      <c r="Q80" t="str">
        <f>"TBD61"</f>
        <v>TBD61</v>
      </c>
      <c r="R80" t="str">
        <f>"noordiana.ismail@berjayahotel.com"</f>
        <v>noordiana.ismail@berjayahotel.com</v>
      </c>
      <c r="S80" t="str">
        <f>"iPAY to NOORDIANA BINTI ISMA (CIMB BANK: 530002419505) (Ref No: 270114158228)"</f>
        <v>iPAY to NOORDIANA BINTI ISMA (CIMB BANK: 530002419505) (Ref No: 270114158228)</v>
      </c>
      <c r="T80" t="str">
        <f t="shared" si="16"/>
        <v>2014-01-27</v>
      </c>
      <c r="U80" t="s">
        <v>32</v>
      </c>
      <c r="V80" t="str">
        <f>"Successful"</f>
        <v>Successful</v>
      </c>
      <c r="W80" t="str">
        <f>"270114158228"</f>
        <v>270114158228</v>
      </c>
      <c r="X80" t="str">
        <f t="shared" si="17"/>
        <v>219.93.33.173</v>
      </c>
    </row>
    <row r="81" spans="1:24">
      <c r="A81" t="s">
        <v>104</v>
      </c>
      <c r="B81" t="str">
        <f>"27/01/2014 09:58:14"</f>
        <v>27/01/2014 09:58:14</v>
      </c>
      <c r="C81" t="str">
        <f>"891"</f>
        <v>891</v>
      </c>
      <c r="D81" t="str">
        <f>"norulh1211"</f>
        <v>norulh1211</v>
      </c>
      <c r="E81" t="str">
        <f>"NORUL HASLIZAN BINTI HARUN"</f>
        <v>NORUL HASLIZAN BINTI HARUN</v>
      </c>
      <c r="F81" t="str">
        <f>"011020004860"</f>
        <v>011020004860</v>
      </c>
      <c r="G81" t="str">
        <f>"108074251510"</f>
        <v>108074251510</v>
      </c>
      <c r="H81" t="str">
        <f t="shared" si="15"/>
        <v>MYR</v>
      </c>
      <c r="I81" t="str">
        <f t="shared" si="15"/>
        <v>MYR</v>
      </c>
      <c r="J81" t="str">
        <f>"2007-06-14"</f>
        <v>2007-06-14</v>
      </c>
      <c r="K81" t="str">
        <f>"200.00"</f>
        <v>200.00</v>
      </c>
      <c r="L81" t="str">
        <f>"200.00"</f>
        <v>200.00</v>
      </c>
      <c r="M81" t="str">
        <f t="shared" ref="M81:M91" si="18">"NIL"</f>
        <v>NIL</v>
      </c>
      <c r="N81" t="str">
        <f>"SAAIDAH BINTI MAJID"</f>
        <v>SAAIDAH BINTI MAJID</v>
      </c>
      <c r="O81" t="str">
        <f>"MAYBANK"</f>
        <v>MAYBANK</v>
      </c>
      <c r="P81" t="str">
        <f>"MBBEMYKL"</f>
        <v>MBBEMYKL</v>
      </c>
      <c r="Q81" t="str">
        <f t="shared" ref="Q81:R84" si="19">"NIL"</f>
        <v>NIL</v>
      </c>
      <c r="R81" t="str">
        <f t="shared" si="19"/>
        <v>NIL</v>
      </c>
      <c r="S81" t="str">
        <f>"iPAY to SAAIDAH BINTI MAJID (MAYBANK: 108074251510) (Ref No: 270114158238)"</f>
        <v>iPAY to SAAIDAH BINTI MAJID (MAYBANK: 108074251510) (Ref No: 270114158238)</v>
      </c>
      <c r="T81" t="str">
        <f t="shared" si="16"/>
        <v>2014-01-27</v>
      </c>
      <c r="U81" t="s">
        <v>32</v>
      </c>
      <c r="V81" t="str">
        <f>"Successful"</f>
        <v>Successful</v>
      </c>
      <c r="W81" t="str">
        <f>"270114158238"</f>
        <v>270114158238</v>
      </c>
      <c r="X81" t="str">
        <f t="shared" si="17"/>
        <v>219.93.33.173</v>
      </c>
    </row>
    <row r="82" spans="1:24">
      <c r="A82" t="s">
        <v>105</v>
      </c>
      <c r="B82" t="str">
        <f>"27/01/2014 09:59:16"</f>
        <v>27/01/2014 09:59:16</v>
      </c>
      <c r="C82" t="str">
        <f>"6247"</f>
        <v>6247</v>
      </c>
      <c r="D82" t="str">
        <f>"zamia21"</f>
        <v>zamia21</v>
      </c>
      <c r="E82" t="str">
        <f>"NORIDAWATI BINTI ZAKARIA"</f>
        <v>NORIDAWATI BINTI ZAKARIA</v>
      </c>
      <c r="F82" t="str">
        <f>"001102016281"</f>
        <v>001102016281</v>
      </c>
      <c r="G82" t="str">
        <f>"4141700002869011"</f>
        <v>4141700002869011</v>
      </c>
      <c r="H82" t="str">
        <f t="shared" si="15"/>
        <v>MYR</v>
      </c>
      <c r="I82" t="str">
        <f t="shared" si="15"/>
        <v>MYR</v>
      </c>
      <c r="J82" t="str">
        <f>"NIL"</f>
        <v>NIL</v>
      </c>
      <c r="K82" t="str">
        <f>"140.00"</f>
        <v>140.00</v>
      </c>
      <c r="L82" t="str">
        <f>"140.00"</f>
        <v>140.00</v>
      </c>
      <c r="M82" t="str">
        <f t="shared" si="18"/>
        <v>NIL</v>
      </c>
      <c r="N82" t="str">
        <f>"NORIDAWATI ZAKARIA"</f>
        <v>NORIDAWATI ZAKARIA</v>
      </c>
      <c r="O82" t="str">
        <f>"UNITED OVERSEAS BANK"</f>
        <v>UNITED OVERSEAS BANK</v>
      </c>
      <c r="P82" t="str">
        <f>"UOVBMYKL"</f>
        <v>UOVBMYKL</v>
      </c>
      <c r="Q82" t="str">
        <f t="shared" si="19"/>
        <v>NIL</v>
      </c>
      <c r="R82" t="str">
        <f t="shared" si="19"/>
        <v>NIL</v>
      </c>
      <c r="S82" t="str">
        <f>"iPAY to NORIDAWATI ZAKARIA (UNITED OVERSEAS BANK: 4141700002869011)"</f>
        <v>iPAY to NORIDAWATI ZAKARIA (UNITED OVERSEAS BANK: 4141700002869011)</v>
      </c>
      <c r="T82" t="str">
        <f t="shared" si="16"/>
        <v>2014-01-27</v>
      </c>
      <c r="U82" t="s">
        <v>34</v>
      </c>
      <c r="V82" t="str">
        <f>"System error"</f>
        <v>System error</v>
      </c>
      <c r="W82" t="str">
        <f>"NIL"</f>
        <v>NIL</v>
      </c>
      <c r="X82" t="str">
        <f t="shared" si="17"/>
        <v>219.93.33.173</v>
      </c>
    </row>
    <row r="83" spans="1:24">
      <c r="A83" t="s">
        <v>106</v>
      </c>
      <c r="B83" t="str">
        <f>"27/01/2014 10:00:02"</f>
        <v>27/01/2014 10:00:02</v>
      </c>
      <c r="C83" t="str">
        <f>"891"</f>
        <v>891</v>
      </c>
      <c r="D83" t="str">
        <f>"norulh1211"</f>
        <v>norulh1211</v>
      </c>
      <c r="E83" t="str">
        <f>"NORUL HASLIZAN BINTI HARUN"</f>
        <v>NORUL HASLIZAN BINTI HARUN</v>
      </c>
      <c r="F83" t="str">
        <f>"011020004860"</f>
        <v>011020004860</v>
      </c>
      <c r="G83" t="str">
        <f>"164810062332"</f>
        <v>164810062332</v>
      </c>
      <c r="H83" t="str">
        <f t="shared" si="15"/>
        <v>MYR</v>
      </c>
      <c r="I83" t="str">
        <f t="shared" si="15"/>
        <v>MYR</v>
      </c>
      <c r="J83" t="str">
        <f>"NIL"</f>
        <v>NIL</v>
      </c>
      <c r="K83" t="str">
        <f>"400.00"</f>
        <v>400.00</v>
      </c>
      <c r="L83" t="str">
        <f>"400.00"</f>
        <v>400.00</v>
      </c>
      <c r="M83" t="str">
        <f t="shared" si="18"/>
        <v>NIL</v>
      </c>
      <c r="N83" t="str">
        <f>"NORUL HASLIZAN BINTI"</f>
        <v>NORUL HASLIZAN BINTI</v>
      </c>
      <c r="O83" t="str">
        <f>"MAYBANK"</f>
        <v>MAYBANK</v>
      </c>
      <c r="P83" t="str">
        <f>"MBBEMYKL"</f>
        <v>MBBEMYKL</v>
      </c>
      <c r="Q83" t="str">
        <f t="shared" si="19"/>
        <v>NIL</v>
      </c>
      <c r="R83" t="str">
        <f t="shared" si="19"/>
        <v>NIL</v>
      </c>
      <c r="S83" t="str">
        <f>"iPAY to NORUL HASLIZAN BINTI (MAYBANK: 164810062332)"</f>
        <v>iPAY to NORUL HASLIZAN BINTI (MAYBANK: 164810062332)</v>
      </c>
      <c r="T83" t="str">
        <f t="shared" si="16"/>
        <v>2014-01-27</v>
      </c>
      <c r="U83" t="s">
        <v>34</v>
      </c>
      <c r="V83" t="str">
        <f>"System error"</f>
        <v>System error</v>
      </c>
      <c r="W83" t="str">
        <f>"NIL"</f>
        <v>NIL</v>
      </c>
      <c r="X83" t="str">
        <f t="shared" si="17"/>
        <v>219.93.33.173</v>
      </c>
    </row>
    <row r="84" spans="1:24">
      <c r="A84" t="s">
        <v>107</v>
      </c>
      <c r="B84" t="str">
        <f>"27/01/2014 10:01:51"</f>
        <v>27/01/2014 10:01:51</v>
      </c>
      <c r="C84" t="str">
        <f>"10403"</f>
        <v>10403</v>
      </c>
      <c r="D84" t="str">
        <f>"mastura"</f>
        <v>mastura</v>
      </c>
      <c r="E84" t="str">
        <f>"KHALIFATUL MASTURA BINTI MOHD MOKHTAR"</f>
        <v>KHALIFATUL MASTURA BINTI MOHD MOKHTAR</v>
      </c>
      <c r="F84" t="str">
        <f>"001105014997"</f>
        <v>001105014997</v>
      </c>
      <c r="G84" t="str">
        <f>"08030019725528"</f>
        <v>08030019725528</v>
      </c>
      <c r="H84" t="str">
        <f t="shared" si="15"/>
        <v>MYR</v>
      </c>
      <c r="I84" t="str">
        <f t="shared" si="15"/>
        <v>MYR</v>
      </c>
      <c r="J84" t="str">
        <f>"2011-04-06"</f>
        <v>2011-04-06</v>
      </c>
      <c r="K84" t="str">
        <f>"1200.00"</f>
        <v>1200.00</v>
      </c>
      <c r="L84" t="str">
        <f>"1200.00"</f>
        <v>1200.00</v>
      </c>
      <c r="M84" t="str">
        <f t="shared" si="18"/>
        <v>NIL</v>
      </c>
      <c r="N84" t="str">
        <f>"NAFSIAH BT MO"</f>
        <v>NAFSIAH BT MO</v>
      </c>
      <c r="O84" t="str">
        <f>"CIMB BANK"</f>
        <v>CIMB BANK</v>
      </c>
      <c r="P84" t="str">
        <f>"CIBBMYKL"</f>
        <v>CIBBMYKL</v>
      </c>
      <c r="Q84" t="str">
        <f t="shared" si="19"/>
        <v>NIL</v>
      </c>
      <c r="R84" t="str">
        <f t="shared" si="19"/>
        <v>NIL</v>
      </c>
      <c r="S84" t="str">
        <f>"iPAY to NAFSIAH BT MO (CIMB BANK: 08030019725528) (Ref No: 270114158242)"</f>
        <v>iPAY to NAFSIAH BT MO (CIMB BANK: 08030019725528) (Ref No: 270114158242)</v>
      </c>
      <c r="T84" t="str">
        <f t="shared" si="16"/>
        <v>2014-01-27</v>
      </c>
      <c r="U84" t="s">
        <v>32</v>
      </c>
      <c r="V84" t="str">
        <f t="shared" ref="V84:V92" si="20">"Successful"</f>
        <v>Successful</v>
      </c>
      <c r="W84" t="str">
        <f>"270114158242"</f>
        <v>270114158242</v>
      </c>
      <c r="X84" t="str">
        <f t="shared" si="17"/>
        <v>219.93.33.173</v>
      </c>
    </row>
    <row r="85" spans="1:24">
      <c r="A85" t="s">
        <v>108</v>
      </c>
      <c r="B85" t="str">
        <f>"27/01/2014 10:02:06"</f>
        <v>27/01/2014 10:02:06</v>
      </c>
      <c r="C85" t="str">
        <f>"6247"</f>
        <v>6247</v>
      </c>
      <c r="D85" t="str">
        <f>"zamia21"</f>
        <v>zamia21</v>
      </c>
      <c r="E85" t="str">
        <f>"NORIDAWATI BINTI ZAKARIA"</f>
        <v>NORIDAWATI BINTI ZAKARIA</v>
      </c>
      <c r="F85" t="str">
        <f>"001102016281"</f>
        <v>001102016281</v>
      </c>
      <c r="G85" t="str">
        <f>"114150404518"</f>
        <v>114150404518</v>
      </c>
      <c r="H85" t="str">
        <f t="shared" si="15"/>
        <v>MYR</v>
      </c>
      <c r="I85" t="str">
        <f t="shared" si="15"/>
        <v>MYR</v>
      </c>
      <c r="J85" t="str">
        <f>"2010-04-06"</f>
        <v>2010-04-06</v>
      </c>
      <c r="K85" t="str">
        <f>"400.00"</f>
        <v>400.00</v>
      </c>
      <c r="L85" t="str">
        <f>"400.00"</f>
        <v>400.00</v>
      </c>
      <c r="M85" t="str">
        <f t="shared" si="18"/>
        <v>NIL</v>
      </c>
      <c r="N85" t="str">
        <f>"NORIDAWATI ZAKARIA"</f>
        <v>NORIDAWATI ZAKARIA</v>
      </c>
      <c r="O85" t="str">
        <f>"MAYBANK"</f>
        <v>MAYBANK</v>
      </c>
      <c r="P85" t="str">
        <f>"MBBEMYKL"</f>
        <v>MBBEMYKL</v>
      </c>
      <c r="Q85" t="str">
        <f>"NIL"</f>
        <v>NIL</v>
      </c>
      <c r="R85" t="str">
        <f>"noridawati.zakaria@kfh.com.my"</f>
        <v>noridawati.zakaria@kfh.com.my</v>
      </c>
      <c r="S85" t="str">
        <f>"iPAY to NORIDAWATI ZAKARIA (MAYBANK: 114150404518) (Ref No: 270114158244)"</f>
        <v>iPAY to NORIDAWATI ZAKARIA (MAYBANK: 114150404518) (Ref No: 270114158244)</v>
      </c>
      <c r="T85" t="str">
        <f t="shared" si="16"/>
        <v>2014-01-27</v>
      </c>
      <c r="U85" t="s">
        <v>32</v>
      </c>
      <c r="V85" t="str">
        <f t="shared" si="20"/>
        <v>Successful</v>
      </c>
      <c r="W85" t="str">
        <f>"270114158244"</f>
        <v>270114158244</v>
      </c>
      <c r="X85" t="str">
        <f t="shared" si="17"/>
        <v>219.93.33.173</v>
      </c>
    </row>
    <row r="86" spans="1:24">
      <c r="A86" t="s">
        <v>109</v>
      </c>
      <c r="B86" t="str">
        <f>"27/01/2014 10:02:46"</f>
        <v>27/01/2014 10:02:46</v>
      </c>
      <c r="C86" t="str">
        <f>"10403"</f>
        <v>10403</v>
      </c>
      <c r="D86" t="str">
        <f>"mastura"</f>
        <v>mastura</v>
      </c>
      <c r="E86" t="str">
        <f>"KHALIFATUL MASTURA BINTI MOHD MOKHTAR"</f>
        <v>KHALIFATUL MASTURA BINTI MOHD MOKHTAR</v>
      </c>
      <c r="F86" t="str">
        <f>"001105014997"</f>
        <v>001105014997</v>
      </c>
      <c r="G86" t="str">
        <f>"08013023395460"</f>
        <v>08013023395460</v>
      </c>
      <c r="H86" t="str">
        <f t="shared" si="15"/>
        <v>MYR</v>
      </c>
      <c r="I86" t="str">
        <f t="shared" si="15"/>
        <v>MYR</v>
      </c>
      <c r="J86" t="str">
        <f>"2011-04-06"</f>
        <v>2011-04-06</v>
      </c>
      <c r="K86" t="str">
        <f>"500.00"</f>
        <v>500.00</v>
      </c>
      <c r="L86" t="str">
        <f>"500.00"</f>
        <v>500.00</v>
      </c>
      <c r="M86" t="str">
        <f t="shared" si="18"/>
        <v>NIL</v>
      </c>
      <c r="N86" t="str">
        <f>"PUAN HASIMAH BINTI HAMID"</f>
        <v>PUAN HASIMAH BINTI HAMID</v>
      </c>
      <c r="O86" t="str">
        <f>"BANK ISLAM MALAYSIA BHD"</f>
        <v>BANK ISLAM MALAYSIA BHD</v>
      </c>
      <c r="P86" t="str">
        <f>"BIMBMYKL"</f>
        <v>BIMBMYKL</v>
      </c>
      <c r="Q86" t="str">
        <f>"NIL"</f>
        <v>NIL</v>
      </c>
      <c r="R86" t="str">
        <f>"NIL"</f>
        <v>NIL</v>
      </c>
      <c r="S86" t="str">
        <f>"iPAY to PUAN HASIMAH BINTI HAMID (BANK ISLAM MALAYSIA BHD: 08013023395460) (Ref No: 270114158248)"</f>
        <v>iPAY to PUAN HASIMAH BINTI HAMID (BANK ISLAM MALAYSIA BHD: 08013023395460) (Ref No: 270114158248)</v>
      </c>
      <c r="T86" t="str">
        <f t="shared" si="16"/>
        <v>2014-01-27</v>
      </c>
      <c r="U86" t="s">
        <v>32</v>
      </c>
      <c r="V86" t="str">
        <f t="shared" si="20"/>
        <v>Successful</v>
      </c>
      <c r="W86" t="str">
        <f>"270114158248"</f>
        <v>270114158248</v>
      </c>
      <c r="X86" t="str">
        <f t="shared" si="17"/>
        <v>219.93.33.173</v>
      </c>
    </row>
    <row r="87" spans="1:24">
      <c r="A87" t="s">
        <v>110</v>
      </c>
      <c r="B87" t="str">
        <f>"27/01/2014 10:05:16"</f>
        <v>27/01/2014 10:05:16</v>
      </c>
      <c r="C87" t="str">
        <f>"10403"</f>
        <v>10403</v>
      </c>
      <c r="D87" t="str">
        <f>"mastura"</f>
        <v>mastura</v>
      </c>
      <c r="E87" t="str">
        <f>"KHALIFATUL MASTURA BINTI MOHD MOKHTAR"</f>
        <v>KHALIFATUL MASTURA BINTI MOHD MOKHTAR</v>
      </c>
      <c r="F87" t="str">
        <f>"001105014997"</f>
        <v>001105014997</v>
      </c>
      <c r="G87" t="str">
        <f>"21412900126780"</f>
        <v>21412900126780</v>
      </c>
      <c r="H87" t="str">
        <f t="shared" si="15"/>
        <v>MYR</v>
      </c>
      <c r="I87" t="str">
        <f t="shared" si="15"/>
        <v>MYR</v>
      </c>
      <c r="J87" t="str">
        <f>"2011-04-06"</f>
        <v>2011-04-06</v>
      </c>
      <c r="K87" t="str">
        <f>"200.00"</f>
        <v>200.00</v>
      </c>
      <c r="L87" t="str">
        <f>"200.00"</f>
        <v>200.00</v>
      </c>
      <c r="M87" t="str">
        <f t="shared" si="18"/>
        <v>NIL</v>
      </c>
      <c r="N87" t="str">
        <f>"KHALIFATUL MA"</f>
        <v>KHALIFATUL MA</v>
      </c>
      <c r="O87" t="str">
        <f>"RHB BANK"</f>
        <v>RHB BANK</v>
      </c>
      <c r="P87" t="str">
        <f>"RHBBMYKL"</f>
        <v>RHBBMYKL</v>
      </c>
      <c r="Q87" t="str">
        <f>"NIL"</f>
        <v>NIL</v>
      </c>
      <c r="R87" t="str">
        <f>"mastura.mokhtar@kfh.com.my"</f>
        <v>mastura.mokhtar@kfh.com.my</v>
      </c>
      <c r="S87" t="str">
        <f>"iPAY to KHALIFATUL MA (RHB BANK: 21412900126780) (Ref No: 270114158251)"</f>
        <v>iPAY to KHALIFATUL MA (RHB BANK: 21412900126780) (Ref No: 270114158251)</v>
      </c>
      <c r="T87" t="str">
        <f t="shared" si="16"/>
        <v>2014-01-27</v>
      </c>
      <c r="U87" t="s">
        <v>32</v>
      </c>
      <c r="V87" t="str">
        <f t="shared" si="20"/>
        <v>Successful</v>
      </c>
      <c r="W87" t="str">
        <f>"270114158251"</f>
        <v>270114158251</v>
      </c>
      <c r="X87" t="str">
        <f t="shared" si="17"/>
        <v>219.93.33.173</v>
      </c>
    </row>
    <row r="88" spans="1:24">
      <c r="A88" t="s">
        <v>111</v>
      </c>
      <c r="B88" t="str">
        <f>"27/01/2014 10:06:03"</f>
        <v>27/01/2014 10:06:03</v>
      </c>
      <c r="C88" t="str">
        <f>"2674"</f>
        <v>2674</v>
      </c>
      <c r="D88" t="str">
        <f>"ajefida"</f>
        <v>ajefida</v>
      </c>
      <c r="E88" t="str">
        <f>"NURUL AFIDA BINTI ABDUL HALIM"</f>
        <v>NURUL AFIDA BINTI ABDUL HALIM</v>
      </c>
      <c r="F88" t="str">
        <f>"001102009773"</f>
        <v>001102009773</v>
      </c>
      <c r="G88" t="str">
        <f>"164061665841"</f>
        <v>164061665841</v>
      </c>
      <c r="H88" t="str">
        <f t="shared" si="15"/>
        <v>MYR</v>
      </c>
      <c r="I88" t="str">
        <f t="shared" si="15"/>
        <v>MYR</v>
      </c>
      <c r="J88" t="str">
        <f>"2008-11-05"</f>
        <v>2008-11-05</v>
      </c>
      <c r="K88" t="str">
        <f>"2503.00"</f>
        <v>2503.00</v>
      </c>
      <c r="L88" t="str">
        <f>"2503.00"</f>
        <v>2503.00</v>
      </c>
      <c r="M88" t="str">
        <f t="shared" si="18"/>
        <v>NIL</v>
      </c>
      <c r="N88" t="str">
        <f>"NURUL AFIDA BINTI AB"</f>
        <v>NURUL AFIDA BINTI AB</v>
      </c>
      <c r="O88" t="str">
        <f>"MAYBANK"</f>
        <v>MAYBANK</v>
      </c>
      <c r="P88" t="str">
        <f>"MBBEMYKL"</f>
        <v>MBBEMYKL</v>
      </c>
      <c r="Q88" t="str">
        <f>"NIL"</f>
        <v>NIL</v>
      </c>
      <c r="R88" t="str">
        <f>"nurul_julian@yahoo.com"</f>
        <v>nurul_julian@yahoo.com</v>
      </c>
      <c r="S88" t="str">
        <f>"iPAY to NURUL AFIDA BINTI AB (MAYBANK: 164061665841) (Ref No: 270114158270)"</f>
        <v>iPAY to NURUL AFIDA BINTI AB (MAYBANK: 164061665841) (Ref No: 270114158270)</v>
      </c>
      <c r="T88" t="str">
        <f t="shared" si="16"/>
        <v>2014-01-27</v>
      </c>
      <c r="U88" t="s">
        <v>32</v>
      </c>
      <c r="V88" t="str">
        <f t="shared" si="20"/>
        <v>Successful</v>
      </c>
      <c r="W88" t="str">
        <f>"270114158270"</f>
        <v>270114158270</v>
      </c>
      <c r="X88" t="str">
        <f>"14.192.214.180"</f>
        <v>14.192.214.180</v>
      </c>
    </row>
    <row r="89" spans="1:24">
      <c r="A89" t="s">
        <v>112</v>
      </c>
      <c r="B89" t="str">
        <f>"27/01/2014 10:06:39"</f>
        <v>27/01/2014 10:06:39</v>
      </c>
      <c r="C89" t="str">
        <f>"1033"</f>
        <v>1033</v>
      </c>
      <c r="D89" t="str">
        <f>"yusnizan13"</f>
        <v>yusnizan13</v>
      </c>
      <c r="E89" t="str">
        <f>"Yusnizan binti Sailani"</f>
        <v>Yusnizan binti Sailani</v>
      </c>
      <c r="F89" t="str">
        <f>"002102000301"</f>
        <v>002102000301</v>
      </c>
      <c r="G89" t="str">
        <f>"4358847902"</f>
        <v>4358847902</v>
      </c>
      <c r="H89" t="str">
        <f t="shared" si="15"/>
        <v>MYR</v>
      </c>
      <c r="I89" t="str">
        <f t="shared" si="15"/>
        <v>MYR</v>
      </c>
      <c r="J89" t="str">
        <f>"2007-09-06"</f>
        <v>2007-09-06</v>
      </c>
      <c r="K89" t="str">
        <f>"500.00"</f>
        <v>500.00</v>
      </c>
      <c r="L89" t="str">
        <f>"500.00"</f>
        <v>500.00</v>
      </c>
      <c r="M89" t="str">
        <f t="shared" si="18"/>
        <v>NIL</v>
      </c>
      <c r="N89" t="str">
        <f>"WONG KOON MOEY"</f>
        <v>WONG KOON MOEY</v>
      </c>
      <c r="O89" t="str">
        <f>"PUBLIC BANK"</f>
        <v>PUBLIC BANK</v>
      </c>
      <c r="P89" t="str">
        <f>"PBBEMYKL"</f>
        <v>PBBEMYKL</v>
      </c>
      <c r="Q89" t="str">
        <f>"RENTAL PANDAN JAYA"</f>
        <v>RENTAL PANDAN JAYA</v>
      </c>
      <c r="R89" t="str">
        <f>"NIL"</f>
        <v>NIL</v>
      </c>
      <c r="S89" t="str">
        <f>"iPAY to WONG KOON MOEY (PUBLIC BANK: 4358847902) (Ref No: 270114158272)"</f>
        <v>iPAY to WONG KOON MOEY (PUBLIC BANK: 4358847902) (Ref No: 270114158272)</v>
      </c>
      <c r="T89" t="str">
        <f t="shared" si="16"/>
        <v>2014-01-27</v>
      </c>
      <c r="U89" t="s">
        <v>32</v>
      </c>
      <c r="V89" t="str">
        <f t="shared" si="20"/>
        <v>Successful</v>
      </c>
      <c r="W89" t="str">
        <f>"270114158272"</f>
        <v>270114158272</v>
      </c>
      <c r="X89" t="str">
        <f t="shared" ref="X89:X97" si="21">"219.93.33.173"</f>
        <v>219.93.33.173</v>
      </c>
    </row>
    <row r="90" spans="1:24">
      <c r="A90" t="s">
        <v>113</v>
      </c>
      <c r="B90" t="str">
        <f>"27/01/2014 10:07:37"</f>
        <v>27/01/2014 10:07:37</v>
      </c>
      <c r="C90" t="str">
        <f>"6247"</f>
        <v>6247</v>
      </c>
      <c r="D90" t="str">
        <f>"zamia21"</f>
        <v>zamia21</v>
      </c>
      <c r="E90" t="str">
        <f>"NORIDAWATI BINTI ZAKARIA"</f>
        <v>NORIDAWATI BINTI ZAKARIA</v>
      </c>
      <c r="F90" t="str">
        <f>"001102016281"</f>
        <v>001102016281</v>
      </c>
      <c r="G90" t="str">
        <f>"114150404518"</f>
        <v>114150404518</v>
      </c>
      <c r="H90" t="str">
        <f t="shared" ref="H90:I109" si="22">"MYR"</f>
        <v>MYR</v>
      </c>
      <c r="I90" t="str">
        <f t="shared" si="22"/>
        <v>MYR</v>
      </c>
      <c r="J90" t="str">
        <f>"2010-04-06"</f>
        <v>2010-04-06</v>
      </c>
      <c r="K90" t="str">
        <f>"310.00"</f>
        <v>310.00</v>
      </c>
      <c r="L90" t="str">
        <f>"310.00"</f>
        <v>310.00</v>
      </c>
      <c r="M90" t="str">
        <f t="shared" si="18"/>
        <v>NIL</v>
      </c>
      <c r="N90" t="str">
        <f>"NORIDAWATI ZAKARIA"</f>
        <v>NORIDAWATI ZAKARIA</v>
      </c>
      <c r="O90" t="str">
        <f>"MAYBANK"</f>
        <v>MAYBANK</v>
      </c>
      <c r="P90" t="str">
        <f>"MBBEMYKL"</f>
        <v>MBBEMYKL</v>
      </c>
      <c r="Q90" t="str">
        <f>"NIL"</f>
        <v>NIL</v>
      </c>
      <c r="R90" t="str">
        <f>"noridawati.zakaria@kfh.com.my"</f>
        <v>noridawati.zakaria@kfh.com.my</v>
      </c>
      <c r="S90" t="str">
        <f>"iPAY to NORIDAWATI ZAKARIA (MAYBANK: 114150404518) (Ref No: 270114158255)"</f>
        <v>iPAY to NORIDAWATI ZAKARIA (MAYBANK: 114150404518) (Ref No: 270114158255)</v>
      </c>
      <c r="T90" t="str">
        <f t="shared" si="16"/>
        <v>2014-01-27</v>
      </c>
      <c r="U90" t="s">
        <v>32</v>
      </c>
      <c r="V90" t="str">
        <f t="shared" si="20"/>
        <v>Successful</v>
      </c>
      <c r="W90" t="str">
        <f>"270114158255"</f>
        <v>270114158255</v>
      </c>
      <c r="X90" t="str">
        <f t="shared" si="21"/>
        <v>219.93.33.173</v>
      </c>
    </row>
    <row r="91" spans="1:24">
      <c r="A91" t="s">
        <v>114</v>
      </c>
      <c r="B91" t="str">
        <f>"27/01/2014 10:07:52"</f>
        <v>27/01/2014 10:07:52</v>
      </c>
      <c r="C91" t="str">
        <f>"801"</f>
        <v>801</v>
      </c>
      <c r="D91" t="str">
        <f>"chonnie97"</f>
        <v>chonnie97</v>
      </c>
      <c r="E91" t="str">
        <f>"FEISAL ZAIDAN BIN ALI"</f>
        <v>FEISAL ZAIDAN BIN ALI</v>
      </c>
      <c r="F91" t="str">
        <f>"011020004410"</f>
        <v>011020004410</v>
      </c>
      <c r="G91" t="str">
        <f>"162106468109"</f>
        <v>162106468109</v>
      </c>
      <c r="H91" t="str">
        <f t="shared" si="22"/>
        <v>MYR</v>
      </c>
      <c r="I91" t="str">
        <f t="shared" si="22"/>
        <v>MYR</v>
      </c>
      <c r="J91" t="str">
        <f>"2007-04-04"</f>
        <v>2007-04-04</v>
      </c>
      <c r="K91" t="str">
        <f>"510.00"</f>
        <v>510.00</v>
      </c>
      <c r="L91" t="str">
        <f>"510.00"</f>
        <v>510.00</v>
      </c>
      <c r="M91" t="str">
        <f t="shared" si="18"/>
        <v>NIL</v>
      </c>
      <c r="N91" t="str">
        <f>"FEISAL ZAIDAN BIN AL"</f>
        <v>FEISAL ZAIDAN BIN AL</v>
      </c>
      <c r="O91" t="str">
        <f>"MAYBANK"</f>
        <v>MAYBANK</v>
      </c>
      <c r="P91" t="str">
        <f>"MBBEMYKL"</f>
        <v>MBBEMYKL</v>
      </c>
      <c r="Q91" t="str">
        <f>"NIL"</f>
        <v>NIL</v>
      </c>
      <c r="R91" t="str">
        <f>"feisal.zaidan@kfh.com.my"</f>
        <v>feisal.zaidan@kfh.com.my</v>
      </c>
      <c r="S91" t="str">
        <f>"iPAY to FEISAL ZAIDAN BIN AL (MAYBANK: 162106468109) (Ref No: 270114158277)"</f>
        <v>iPAY to FEISAL ZAIDAN BIN AL (MAYBANK: 162106468109) (Ref No: 270114158277)</v>
      </c>
      <c r="T91" t="str">
        <f t="shared" si="16"/>
        <v>2014-01-27</v>
      </c>
      <c r="U91" t="s">
        <v>32</v>
      </c>
      <c r="V91" t="str">
        <f t="shared" si="20"/>
        <v>Successful</v>
      </c>
      <c r="W91" t="str">
        <f>"270114158277"</f>
        <v>270114158277</v>
      </c>
      <c r="X91" t="str">
        <f t="shared" si="21"/>
        <v>219.93.33.173</v>
      </c>
    </row>
    <row r="92" spans="1:24">
      <c r="A92" t="s">
        <v>115</v>
      </c>
      <c r="B92" t="str">
        <f>"27/01/2014 10:08:22"</f>
        <v>27/01/2014 10:08:22</v>
      </c>
      <c r="C92" t="str">
        <f>"15272"</f>
        <v>15272</v>
      </c>
      <c r="D92" t="str">
        <f>"zailanizain"</f>
        <v>zailanizain</v>
      </c>
      <c r="E92" t="str">
        <f>"MOHD ZAILANI BIN MOHAMED ZAIN"</f>
        <v>MOHD ZAILANI BIN MOHAMED ZAIN</v>
      </c>
      <c r="F92" t="str">
        <f>"001102027852"</f>
        <v>001102027852</v>
      </c>
      <c r="G92" t="str">
        <f>"5433113003771521"</f>
        <v>5433113003771521</v>
      </c>
      <c r="H92" t="str">
        <f t="shared" si="22"/>
        <v>MYR</v>
      </c>
      <c r="I92" t="str">
        <f t="shared" si="22"/>
        <v>MYR</v>
      </c>
      <c r="J92" t="str">
        <f>"2011-07-21"</f>
        <v>2011-07-21</v>
      </c>
      <c r="K92" t="str">
        <f>"800.00"</f>
        <v>800.00</v>
      </c>
      <c r="L92" t="str">
        <f>"800.00"</f>
        <v>800.00</v>
      </c>
      <c r="M92" t="str">
        <f>"ct part jan 2014"</f>
        <v>ct part jan 2014</v>
      </c>
      <c r="N92" t="str">
        <f>"MOHD ZAILANI BIN MOHAMED Z"</f>
        <v>MOHD ZAILANI BIN MOHAMED Z</v>
      </c>
      <c r="O92" t="str">
        <f>"CITIBANK"</f>
        <v>CITIBANK</v>
      </c>
      <c r="P92" t="str">
        <f>"CITIMYKL"</f>
        <v>CITIMYKL</v>
      </c>
      <c r="Q92" t="str">
        <f>"ct part jan2014"</f>
        <v>ct part jan2014</v>
      </c>
      <c r="R92" t="str">
        <f>"zailanizain@gmail.com"</f>
        <v>zailanizain@gmail.com</v>
      </c>
      <c r="S92" t="str">
        <f>"iPAY to MOHD ZAILANI BIN MOHAMED Z (CITIBANK: 5433113003771521) (Ref No: 270114158264)"</f>
        <v>iPAY to MOHD ZAILANI BIN MOHAMED Z (CITIBANK: 5433113003771521) (Ref No: 270114158264)</v>
      </c>
      <c r="T92" t="str">
        <f t="shared" si="16"/>
        <v>2014-01-27</v>
      </c>
      <c r="U92" t="s">
        <v>32</v>
      </c>
      <c r="V92" t="str">
        <f t="shared" si="20"/>
        <v>Successful</v>
      </c>
      <c r="W92" t="str">
        <f>"270114158264"</f>
        <v>270114158264</v>
      </c>
      <c r="X92" t="str">
        <f t="shared" si="21"/>
        <v>219.93.33.173</v>
      </c>
    </row>
    <row r="93" spans="1:24">
      <c r="A93" t="s">
        <v>116</v>
      </c>
      <c r="B93" t="str">
        <f>"27/01/2014 10:09:17"</f>
        <v>27/01/2014 10:09:17</v>
      </c>
      <c r="C93" t="str">
        <f>"1033"</f>
        <v>1033</v>
      </c>
      <c r="D93" t="str">
        <f>"yusnizan13"</f>
        <v>yusnizan13</v>
      </c>
      <c r="E93" t="str">
        <f>"Yusnizan binti Sailani"</f>
        <v>Yusnizan binti Sailani</v>
      </c>
      <c r="F93" t="str">
        <f>"002102000301"</f>
        <v>002102000301</v>
      </c>
      <c r="G93" t="str">
        <f>"162393740541"</f>
        <v>162393740541</v>
      </c>
      <c r="H93" t="str">
        <f t="shared" si="22"/>
        <v>MYR</v>
      </c>
      <c r="I93" t="str">
        <f t="shared" si="22"/>
        <v>MYR</v>
      </c>
      <c r="J93" t="str">
        <f>"NIL"</f>
        <v>NIL</v>
      </c>
      <c r="K93" t="str">
        <f>"500.00"</f>
        <v>500.00</v>
      </c>
      <c r="L93" t="str">
        <f>"500.00"</f>
        <v>500.00</v>
      </c>
      <c r="M93" t="str">
        <f>"NIL"</f>
        <v>NIL</v>
      </c>
      <c r="N93" t="str">
        <f>"YUSNIZAN BINTI SAILA"</f>
        <v>YUSNIZAN BINTI SAILA</v>
      </c>
      <c r="O93" t="str">
        <f>"MAYBANK"</f>
        <v>MAYBANK</v>
      </c>
      <c r="P93" t="str">
        <f>"MBBEMYKL"</f>
        <v>MBBEMYKL</v>
      </c>
      <c r="Q93" t="str">
        <f t="shared" ref="Q93:Q98" si="23">"NIL"</f>
        <v>NIL</v>
      </c>
      <c r="R93" t="str">
        <f>"yusnizan.sailani@kfh.com.my"</f>
        <v>yusnizan.sailani@kfh.com.my</v>
      </c>
      <c r="S93" t="str">
        <f>"iPAY to YUSNIZAN BINTI SAILA (MAYBANK: 162393740541)"</f>
        <v>iPAY to YUSNIZAN BINTI SAILA (MAYBANK: 162393740541)</v>
      </c>
      <c r="T93" t="str">
        <f t="shared" si="16"/>
        <v>2014-01-27</v>
      </c>
      <c r="U93" t="s">
        <v>34</v>
      </c>
      <c r="V93" t="str">
        <f>"System error"</f>
        <v>System error</v>
      </c>
      <c r="W93" t="str">
        <f>"NIL"</f>
        <v>NIL</v>
      </c>
      <c r="X93" t="str">
        <f t="shared" si="21"/>
        <v>219.93.33.173</v>
      </c>
    </row>
    <row r="94" spans="1:24">
      <c r="A94" t="s">
        <v>117</v>
      </c>
      <c r="B94" t="str">
        <f>"27/01/2014 10:10:17"</f>
        <v>27/01/2014 10:10:17</v>
      </c>
      <c r="C94" t="str">
        <f>"7690"</f>
        <v>7690</v>
      </c>
      <c r="D94" t="str">
        <f>"fazlee23"</f>
        <v>fazlee23</v>
      </c>
      <c r="E94" t="str">
        <f>"MD FAZLEE BIN KARIM"</f>
        <v>MD FAZLEE BIN KARIM</v>
      </c>
      <c r="F94" t="str">
        <f>"004102008381"</f>
        <v>004102008381</v>
      </c>
      <c r="G94" t="str">
        <f>"114209474695"</f>
        <v>114209474695</v>
      </c>
      <c r="H94" t="str">
        <f t="shared" si="22"/>
        <v>MYR</v>
      </c>
      <c r="I94" t="str">
        <f t="shared" si="22"/>
        <v>MYR</v>
      </c>
      <c r="J94" t="str">
        <f>"NIL"</f>
        <v>NIL</v>
      </c>
      <c r="K94" t="str">
        <f>"70.00"</f>
        <v>70.00</v>
      </c>
      <c r="L94" t="str">
        <f>"70.00"</f>
        <v>70.00</v>
      </c>
      <c r="M94" t="str">
        <f>"NIL"</f>
        <v>NIL</v>
      </c>
      <c r="N94" t="str">
        <f>"MD FAZLEE BIN KARIM"</f>
        <v>MD FAZLEE BIN KARIM</v>
      </c>
      <c r="O94" t="str">
        <f>"MAYBANK"</f>
        <v>MAYBANK</v>
      </c>
      <c r="P94" t="str">
        <f>"MBBEMYKL"</f>
        <v>MBBEMYKL</v>
      </c>
      <c r="Q94" t="str">
        <f t="shared" si="23"/>
        <v>NIL</v>
      </c>
      <c r="R94" t="str">
        <f>"NIL"</f>
        <v>NIL</v>
      </c>
      <c r="S94" t="str">
        <f>"iPAY to MD FAZLEE BIN KARIM (MAYBANK: 114209474695)"</f>
        <v>iPAY to MD FAZLEE BIN KARIM (MAYBANK: 114209474695)</v>
      </c>
      <c r="T94" t="str">
        <f t="shared" si="16"/>
        <v>2014-01-27</v>
      </c>
      <c r="U94" t="s">
        <v>34</v>
      </c>
      <c r="V94" t="str">
        <f>"System error"</f>
        <v>System error</v>
      </c>
      <c r="W94" t="str">
        <f>"NIL"</f>
        <v>NIL</v>
      </c>
      <c r="X94" t="str">
        <f t="shared" si="21"/>
        <v>219.93.33.173</v>
      </c>
    </row>
    <row r="95" spans="1:24">
      <c r="A95" t="s">
        <v>118</v>
      </c>
      <c r="B95" t="str">
        <f>"27/01/2014 10:11:55"</f>
        <v>27/01/2014 10:11:55</v>
      </c>
      <c r="C95" t="str">
        <f>"7690"</f>
        <v>7690</v>
      </c>
      <c r="D95" t="str">
        <f>"fazlee23"</f>
        <v>fazlee23</v>
      </c>
      <c r="E95" t="str">
        <f>"MD FAZLEE BIN KARIM"</f>
        <v>MD FAZLEE BIN KARIM</v>
      </c>
      <c r="F95" t="str">
        <f>"004102008381"</f>
        <v>004102008381</v>
      </c>
      <c r="G95" t="str">
        <f>"114209474695"</f>
        <v>114209474695</v>
      </c>
      <c r="H95" t="str">
        <f t="shared" si="22"/>
        <v>MYR</v>
      </c>
      <c r="I95" t="str">
        <f t="shared" si="22"/>
        <v>MYR</v>
      </c>
      <c r="J95" t="str">
        <f>"2010-10-12"</f>
        <v>2010-10-12</v>
      </c>
      <c r="K95" t="str">
        <f>"70.00"</f>
        <v>70.00</v>
      </c>
      <c r="L95" t="str">
        <f>"70.00"</f>
        <v>70.00</v>
      </c>
      <c r="M95" t="str">
        <f>"NIL"</f>
        <v>NIL</v>
      </c>
      <c r="N95" t="str">
        <f>"MD FAZLEE BIN KARIM"</f>
        <v>MD FAZLEE BIN KARIM</v>
      </c>
      <c r="O95" t="str">
        <f>"MAYBANK"</f>
        <v>MAYBANK</v>
      </c>
      <c r="P95" t="str">
        <f>"MBBEMYKL"</f>
        <v>MBBEMYKL</v>
      </c>
      <c r="Q95" t="str">
        <f t="shared" si="23"/>
        <v>NIL</v>
      </c>
      <c r="R95" t="str">
        <f>"NIL"</f>
        <v>NIL</v>
      </c>
      <c r="S95" t="str">
        <f>"iPAY to MD FAZLEE BIN KARIM (MAYBANK: 114209474695) (Ref No: 270114158280)"</f>
        <v>iPAY to MD FAZLEE BIN KARIM (MAYBANK: 114209474695) (Ref No: 270114158280)</v>
      </c>
      <c r="T95" t="str">
        <f t="shared" si="16"/>
        <v>2014-01-27</v>
      </c>
      <c r="U95" t="s">
        <v>32</v>
      </c>
      <c r="V95" t="str">
        <f>"Successful"</f>
        <v>Successful</v>
      </c>
      <c r="W95" t="str">
        <f>"270114158280"</f>
        <v>270114158280</v>
      </c>
      <c r="X95" t="str">
        <f t="shared" si="21"/>
        <v>219.93.33.173</v>
      </c>
    </row>
    <row r="96" spans="1:24">
      <c r="A96" t="s">
        <v>119</v>
      </c>
      <c r="B96" t="str">
        <f>"27/01/2014 10:14:12"</f>
        <v>27/01/2014 10:14:12</v>
      </c>
      <c r="C96" t="str">
        <f>"1033"</f>
        <v>1033</v>
      </c>
      <c r="D96" t="str">
        <f>"yusnizan13"</f>
        <v>yusnizan13</v>
      </c>
      <c r="E96" t="str">
        <f>"Yusnizan binti Sailani"</f>
        <v>Yusnizan binti Sailani</v>
      </c>
      <c r="F96" t="str">
        <f>"002102000301"</f>
        <v>002102000301</v>
      </c>
      <c r="G96" t="str">
        <f>"4617729002772896"</f>
        <v>4617729002772896</v>
      </c>
      <c r="H96" t="str">
        <f t="shared" si="22"/>
        <v>MYR</v>
      </c>
      <c r="I96" t="str">
        <f t="shared" si="22"/>
        <v>MYR</v>
      </c>
      <c r="J96" t="str">
        <f>"2007-09-06"</f>
        <v>2007-09-06</v>
      </c>
      <c r="K96" t="str">
        <f>"400.00"</f>
        <v>400.00</v>
      </c>
      <c r="L96" t="str">
        <f>"400.00"</f>
        <v>400.00</v>
      </c>
      <c r="M96" t="str">
        <f>"NIL"</f>
        <v>NIL</v>
      </c>
      <c r="N96" t="str">
        <f>"YUSNIZAN SAILANI"</f>
        <v>YUSNIZAN SAILANI</v>
      </c>
      <c r="O96" t="str">
        <f>"HSBC BANK / HSBC AMANAH"</f>
        <v>HSBC BANK / HSBC AMANAH</v>
      </c>
      <c r="P96" t="str">
        <f>"HBMBMYKL"</f>
        <v>HBMBMYKL</v>
      </c>
      <c r="Q96" t="str">
        <f t="shared" si="23"/>
        <v>NIL</v>
      </c>
      <c r="R96" t="str">
        <f>"yusnizan.sailani@kfh.com.my"</f>
        <v>yusnizan.sailani@kfh.com.my</v>
      </c>
      <c r="S96" t="str">
        <f>"iPAY to YUSNIZAN SAILANI (HSBC BANK / HSBC AMANAH: 4617729002772896) (Ref No: 270114158294)"</f>
        <v>iPAY to YUSNIZAN SAILANI (HSBC BANK / HSBC AMANAH: 4617729002772896) (Ref No: 270114158294)</v>
      </c>
      <c r="T96" t="str">
        <f t="shared" si="16"/>
        <v>2014-01-27</v>
      </c>
      <c r="U96" t="s">
        <v>32</v>
      </c>
      <c r="V96" t="str">
        <f>"Successful"</f>
        <v>Successful</v>
      </c>
      <c r="W96" t="str">
        <f>"270114158294"</f>
        <v>270114158294</v>
      </c>
      <c r="X96" t="str">
        <f t="shared" si="21"/>
        <v>219.93.33.173</v>
      </c>
    </row>
    <row r="97" spans="1:24">
      <c r="A97" t="s">
        <v>120</v>
      </c>
      <c r="B97" t="str">
        <f>"27/01/2014 10:14:13"</f>
        <v>27/01/2014 10:14:13</v>
      </c>
      <c r="C97" t="str">
        <f>"212"</f>
        <v>212</v>
      </c>
      <c r="D97" t="str">
        <f>"mohdtahir"</f>
        <v>mohdtahir</v>
      </c>
      <c r="E97" t="str">
        <f>"MOHD TAHIR BIN YUSOF"</f>
        <v>MOHD TAHIR BIN YUSOF</v>
      </c>
      <c r="F97" t="str">
        <f>"011050004896"</f>
        <v>011050004896</v>
      </c>
      <c r="G97" t="str">
        <f>"114187616059"</f>
        <v>114187616059</v>
      </c>
      <c r="H97" t="str">
        <f t="shared" si="22"/>
        <v>MYR</v>
      </c>
      <c r="I97" t="str">
        <f t="shared" si="22"/>
        <v>MYR</v>
      </c>
      <c r="J97" t="str">
        <f>"2007-05-10"</f>
        <v>2007-05-10</v>
      </c>
      <c r="K97" t="str">
        <f>"170.00"</f>
        <v>170.00</v>
      </c>
      <c r="L97" t="str">
        <f>"170.00"</f>
        <v>170.00</v>
      </c>
      <c r="M97" t="str">
        <f>"bsn pru"</f>
        <v>bsn pru</v>
      </c>
      <c r="N97" t="str">
        <f>"MOHD TAHIR BIN YUSOF"</f>
        <v>MOHD TAHIR BIN YUSOF</v>
      </c>
      <c r="O97" t="str">
        <f>"MAYBANK"</f>
        <v>MAYBANK</v>
      </c>
      <c r="P97" t="str">
        <f>"MBBEMYKL"</f>
        <v>MBBEMYKL</v>
      </c>
      <c r="Q97" t="str">
        <f t="shared" si="23"/>
        <v>NIL</v>
      </c>
      <c r="R97" t="str">
        <f>"tahir.yusof@gmail.com"</f>
        <v>tahir.yusof@gmail.com</v>
      </c>
      <c r="S97" t="str">
        <f>"iPAY to MOHD TAHIR BIN YUSOF (MAYBANK: 114187616059) (Ref No: 270114158285)"</f>
        <v>iPAY to MOHD TAHIR BIN YUSOF (MAYBANK: 114187616059) (Ref No: 270114158285)</v>
      </c>
      <c r="T97" t="str">
        <f t="shared" si="16"/>
        <v>2014-01-27</v>
      </c>
      <c r="U97" t="s">
        <v>32</v>
      </c>
      <c r="V97" t="str">
        <f>"Successful"</f>
        <v>Successful</v>
      </c>
      <c r="W97" t="str">
        <f>"270114158285"</f>
        <v>270114158285</v>
      </c>
      <c r="X97" t="str">
        <f t="shared" si="21"/>
        <v>219.93.33.173</v>
      </c>
    </row>
    <row r="98" spans="1:24">
      <c r="A98" t="s">
        <v>121</v>
      </c>
      <c r="B98" t="str">
        <f>"27/01/2014 10:14:21"</f>
        <v>27/01/2014 10:14:21</v>
      </c>
      <c r="C98" t="str">
        <f>"1022"</f>
        <v>1022</v>
      </c>
      <c r="D98" t="str">
        <f>"sfchooi"</f>
        <v>sfchooi</v>
      </c>
      <c r="E98" t="str">
        <f>"CHOOI SO FUN"</f>
        <v>CHOOI SO FUN</v>
      </c>
      <c r="F98" t="str">
        <f>"001103000047"</f>
        <v>001103000047</v>
      </c>
      <c r="G98" t="str">
        <f>"04130003419051"</f>
        <v>04130003419051</v>
      </c>
      <c r="H98" t="str">
        <f t="shared" si="22"/>
        <v>MYR</v>
      </c>
      <c r="I98" t="str">
        <f t="shared" si="22"/>
        <v>MYR</v>
      </c>
      <c r="J98" t="str">
        <f>"NIL"</f>
        <v>NIL</v>
      </c>
      <c r="K98" t="str">
        <f>"1.00"</f>
        <v>1.00</v>
      </c>
      <c r="L98" t="str">
        <f>"1.00"</f>
        <v>1.00</v>
      </c>
      <c r="M98" t="str">
        <f>"NIL"</f>
        <v>NIL</v>
      </c>
      <c r="N98" t="str">
        <f>"CHOOI SO FUN"</f>
        <v>CHOOI SO FUN</v>
      </c>
      <c r="O98" t="str">
        <f>"CIMB BANK"</f>
        <v>CIMB BANK</v>
      </c>
      <c r="P98" t="str">
        <f>"CIBBMYKL"</f>
        <v>CIBBMYKL</v>
      </c>
      <c r="Q98" t="str">
        <f t="shared" si="23"/>
        <v>NIL</v>
      </c>
      <c r="R98" t="str">
        <f>"chooi.so.fun@kfh.com.my"</f>
        <v>chooi.so.fun@kfh.com.my</v>
      </c>
      <c r="S98" t="str">
        <f>"iPAY to CHOOI SO FUN (CIMB BANK: 04130003419051)"</f>
        <v>iPAY to CHOOI SO FUN (CIMB BANK: 04130003419051)</v>
      </c>
      <c r="T98" t="str">
        <f t="shared" si="16"/>
        <v>2014-01-27</v>
      </c>
      <c r="U98" t="s">
        <v>34</v>
      </c>
      <c r="V98" t="str">
        <f>"System error"</f>
        <v>System error</v>
      </c>
      <c r="W98" t="str">
        <f>"NIL"</f>
        <v>NIL</v>
      </c>
      <c r="X98" t="str">
        <f>"10.20.8.29"</f>
        <v>10.20.8.29</v>
      </c>
    </row>
    <row r="99" spans="1:24">
      <c r="A99" t="s">
        <v>122</v>
      </c>
      <c r="B99" t="str">
        <f>"27/01/2014 10:14:53"</f>
        <v>27/01/2014 10:14:53</v>
      </c>
      <c r="C99" t="str">
        <f>"15272"</f>
        <v>15272</v>
      </c>
      <c r="D99" t="str">
        <f>"zailanizain"</f>
        <v>zailanizain</v>
      </c>
      <c r="E99" t="str">
        <f>"MOHD ZAILANI BIN MOHAMED ZAIN"</f>
        <v>MOHD ZAILANI BIN MOHAMED ZAIN</v>
      </c>
      <c r="F99" t="str">
        <f>"001102027852"</f>
        <v>001102027852</v>
      </c>
      <c r="G99" t="str">
        <f>"5433115000727158"</f>
        <v>5433115000727158</v>
      </c>
      <c r="H99" t="str">
        <f t="shared" si="22"/>
        <v>MYR</v>
      </c>
      <c r="I99" t="str">
        <f t="shared" si="22"/>
        <v>MYR</v>
      </c>
      <c r="J99" t="str">
        <f>"2011-07-21"</f>
        <v>2011-07-21</v>
      </c>
      <c r="K99" t="str">
        <f>"4138.84"</f>
        <v>4138.84</v>
      </c>
      <c r="L99" t="str">
        <f>"4138.84"</f>
        <v>4138.84</v>
      </c>
      <c r="M99" t="str">
        <f>"hh ctbank"</f>
        <v>hh ctbank</v>
      </c>
      <c r="N99" t="str">
        <f>"HASLINA HASHIM"</f>
        <v>HASLINA HASHIM</v>
      </c>
      <c r="O99" t="str">
        <f>"CITIBANK"</f>
        <v>CITIBANK</v>
      </c>
      <c r="P99" t="str">
        <f>"CITIMYKL"</f>
        <v>CITIMYKL</v>
      </c>
      <c r="Q99" t="str">
        <f>"ctbank part 2014"</f>
        <v>ctbank part 2014</v>
      </c>
      <c r="R99" t="str">
        <f>"haslina@llm.gov.my"</f>
        <v>haslina@llm.gov.my</v>
      </c>
      <c r="S99" t="str">
        <f>"iPAY to HASLINA HASHIM (CITIBANK: 5433115000727158) (Ref No: 270114158289)"</f>
        <v>iPAY to HASLINA HASHIM (CITIBANK: 5433115000727158) (Ref No: 270114158289)</v>
      </c>
      <c r="T99" t="str">
        <f t="shared" si="16"/>
        <v>2014-01-27</v>
      </c>
      <c r="U99" t="s">
        <v>32</v>
      </c>
      <c r="V99" t="str">
        <f>"Successful"</f>
        <v>Successful</v>
      </c>
      <c r="W99" t="str">
        <f>"270114158289"</f>
        <v>270114158289</v>
      </c>
      <c r="X99" t="str">
        <f t="shared" ref="X99:X118" si="24">"219.93.33.173"</f>
        <v>219.93.33.173</v>
      </c>
    </row>
    <row r="100" spans="1:24">
      <c r="A100" t="s">
        <v>123</v>
      </c>
      <c r="B100" t="str">
        <f>"27/01/2014 10:16:28"</f>
        <v>27/01/2014 10:16:28</v>
      </c>
      <c r="C100" t="str">
        <f>"11486"</f>
        <v>11486</v>
      </c>
      <c r="D100" t="str">
        <f>"thajunisa"</f>
        <v>thajunisa</v>
      </c>
      <c r="E100" t="str">
        <f>"THAJUNISA BINTI A.RAHMAN"</f>
        <v>THAJUNISA BINTI A.RAHMAN</v>
      </c>
      <c r="F100" t="str">
        <f>"001102026171"</f>
        <v>001102026171</v>
      </c>
      <c r="G100" t="str">
        <f>"16219300025564"</f>
        <v>16219300025564</v>
      </c>
      <c r="H100" t="str">
        <f t="shared" si="22"/>
        <v>MYR</v>
      </c>
      <c r="I100" t="str">
        <f t="shared" si="22"/>
        <v>MYR</v>
      </c>
      <c r="J100" t="str">
        <f>"NIL"</f>
        <v>NIL</v>
      </c>
      <c r="K100" t="str">
        <f>"1300.00"</f>
        <v>1300.00</v>
      </c>
      <c r="L100" t="str">
        <f>"1300.00"</f>
        <v>1300.00</v>
      </c>
      <c r="M100" t="str">
        <f>"NIL"</f>
        <v>NIL</v>
      </c>
      <c r="N100" t="str">
        <f>"THAJUNISA BIN"</f>
        <v>THAJUNISA BIN</v>
      </c>
      <c r="O100" t="str">
        <f>"RHB BANK"</f>
        <v>RHB BANK</v>
      </c>
      <c r="P100" t="str">
        <f>"RHBBMYKL"</f>
        <v>RHBBMYKL</v>
      </c>
      <c r="Q100" t="str">
        <f>"NIL"</f>
        <v>NIL</v>
      </c>
      <c r="R100" t="str">
        <f>"thajunisa@gmail.com"</f>
        <v>thajunisa@gmail.com</v>
      </c>
      <c r="S100" t="str">
        <f>"iPAY to THAJUNISA BIN (RHB BANK: 16219300025564)"</f>
        <v>iPAY to THAJUNISA BIN (RHB BANK: 16219300025564)</v>
      </c>
      <c r="T100" t="str">
        <f t="shared" si="16"/>
        <v>2014-01-27</v>
      </c>
      <c r="U100" t="s">
        <v>34</v>
      </c>
      <c r="V100" t="str">
        <f>"System error"</f>
        <v>System error</v>
      </c>
      <c r="W100" t="str">
        <f>"NIL"</f>
        <v>NIL</v>
      </c>
      <c r="X100" t="str">
        <f t="shared" si="24"/>
        <v>219.93.33.173</v>
      </c>
    </row>
    <row r="101" spans="1:24">
      <c r="A101" t="s">
        <v>124</v>
      </c>
      <c r="B101" t="str">
        <f>"27/01/2014 10:18:24"</f>
        <v>27/01/2014 10:18:24</v>
      </c>
      <c r="C101" t="str">
        <f>"11486"</f>
        <v>11486</v>
      </c>
      <c r="D101" t="str">
        <f>"thajunisa"</f>
        <v>thajunisa</v>
      </c>
      <c r="E101" t="str">
        <f>"THAJUNISA BINTI A.RAHMAN"</f>
        <v>THAJUNISA BINTI A.RAHMAN</v>
      </c>
      <c r="F101" t="str">
        <f>"001102026171"</f>
        <v>001102026171</v>
      </c>
      <c r="G101" t="str">
        <f>"16219300025564"</f>
        <v>16219300025564</v>
      </c>
      <c r="H101" t="str">
        <f t="shared" si="22"/>
        <v>MYR</v>
      </c>
      <c r="I101" t="str">
        <f t="shared" si="22"/>
        <v>MYR</v>
      </c>
      <c r="J101" t="str">
        <f>"2011-05-09"</f>
        <v>2011-05-09</v>
      </c>
      <c r="K101" t="str">
        <f>"1300.00"</f>
        <v>1300.00</v>
      </c>
      <c r="L101" t="str">
        <f>"1300.00"</f>
        <v>1300.00</v>
      </c>
      <c r="M101" t="str">
        <f>"NIL"</f>
        <v>NIL</v>
      </c>
      <c r="N101" t="str">
        <f>"THAJUNISA BIN"</f>
        <v>THAJUNISA BIN</v>
      </c>
      <c r="O101" t="str">
        <f>"RHB BANK"</f>
        <v>RHB BANK</v>
      </c>
      <c r="P101" t="str">
        <f>"RHBBMYKL"</f>
        <v>RHBBMYKL</v>
      </c>
      <c r="Q101" t="str">
        <f>"NIL"</f>
        <v>NIL</v>
      </c>
      <c r="R101" t="str">
        <f>"thajunisa@gmail.com"</f>
        <v>thajunisa@gmail.com</v>
      </c>
      <c r="S101" t="str">
        <f>"iPAY to THAJUNISA BIN (RHB BANK: 16219300025564) (Ref No: 270114158297)"</f>
        <v>iPAY to THAJUNISA BIN (RHB BANK: 16219300025564) (Ref No: 270114158297)</v>
      </c>
      <c r="T101" t="str">
        <f t="shared" si="16"/>
        <v>2014-01-27</v>
      </c>
      <c r="U101" t="s">
        <v>32</v>
      </c>
      <c r="V101" t="str">
        <f>"Successful"</f>
        <v>Successful</v>
      </c>
      <c r="W101" t="str">
        <f>"270114158297"</f>
        <v>270114158297</v>
      </c>
      <c r="X101" t="str">
        <f t="shared" si="24"/>
        <v>219.93.33.173</v>
      </c>
    </row>
    <row r="102" spans="1:24">
      <c r="A102" t="s">
        <v>125</v>
      </c>
      <c r="B102" t="str">
        <f>"27/01/2014 10:20:09"</f>
        <v>27/01/2014 10:20:09</v>
      </c>
      <c r="C102" t="str">
        <f>"10355"</f>
        <v>10355</v>
      </c>
      <c r="D102" t="str">
        <f>"shakirah87"</f>
        <v>shakirah87</v>
      </c>
      <c r="E102" t="str">
        <f>"NURUL SHAKIRAH BINTI MOHD MAHDZAR"</f>
        <v>NURUL SHAKIRAH BINTI MOHD MAHDZAR</v>
      </c>
      <c r="F102" t="str">
        <f>"001102024713"</f>
        <v>001102024713</v>
      </c>
      <c r="G102" t="str">
        <f>"14170000519208"</f>
        <v>14170000519208</v>
      </c>
      <c r="H102" t="str">
        <f t="shared" si="22"/>
        <v>MYR</v>
      </c>
      <c r="I102" t="str">
        <f t="shared" si="22"/>
        <v>MYR</v>
      </c>
      <c r="J102" t="str">
        <f>"2011-04-05"</f>
        <v>2011-04-05</v>
      </c>
      <c r="K102" t="str">
        <f>"200.00"</f>
        <v>200.00</v>
      </c>
      <c r="L102" t="str">
        <f>"200.00"</f>
        <v>200.00</v>
      </c>
      <c r="M102" t="str">
        <f>"NIL"</f>
        <v>NIL</v>
      </c>
      <c r="N102" t="str">
        <f>"NURUL SHAKIRA"</f>
        <v>NURUL SHAKIRA</v>
      </c>
      <c r="O102" t="str">
        <f>"CIMB BANK"</f>
        <v>CIMB BANK</v>
      </c>
      <c r="P102" t="str">
        <f>"CIBBMYKL"</f>
        <v>CIBBMYKL</v>
      </c>
      <c r="Q102" t="str">
        <f>"NIL"</f>
        <v>NIL</v>
      </c>
      <c r="R102" t="str">
        <f>"Sha_ira87@yahoo.com"</f>
        <v>Sha_ira87@yahoo.com</v>
      </c>
      <c r="S102" t="str">
        <f>"iPAY to NURUL SHAKIRA (CIMB BANK: 14170000519208) (Ref No: 270114158302)"</f>
        <v>iPAY to NURUL SHAKIRA (CIMB BANK: 14170000519208) (Ref No: 270114158302)</v>
      </c>
      <c r="T102" t="str">
        <f t="shared" si="16"/>
        <v>2014-01-27</v>
      </c>
      <c r="U102" t="s">
        <v>32</v>
      </c>
      <c r="V102" t="str">
        <f>"Successful"</f>
        <v>Successful</v>
      </c>
      <c r="W102" t="str">
        <f>"270114158302"</f>
        <v>270114158302</v>
      </c>
      <c r="X102" t="str">
        <f t="shared" si="24"/>
        <v>219.93.33.173</v>
      </c>
    </row>
    <row r="103" spans="1:24">
      <c r="A103" t="s">
        <v>126</v>
      </c>
      <c r="B103" t="str">
        <f>"27/01/2014 10:21:23"</f>
        <v>27/01/2014 10:21:23</v>
      </c>
      <c r="C103" t="str">
        <f>"276"</f>
        <v>276</v>
      </c>
      <c r="D103" t="str">
        <f>"hazran1"</f>
        <v>hazran1</v>
      </c>
      <c r="E103" t="str">
        <f>"MOHD HAZRAN BIN ABD HADI"</f>
        <v>MOHD HAZRAN BIN ABD HADI</v>
      </c>
      <c r="F103" t="str">
        <f>"011050001617"</f>
        <v>011050001617</v>
      </c>
      <c r="G103" t="str">
        <f>"14410000089076"</f>
        <v>14410000089076</v>
      </c>
      <c r="H103" t="str">
        <f t="shared" si="22"/>
        <v>MYR</v>
      </c>
      <c r="I103" t="str">
        <f t="shared" si="22"/>
        <v>MYR</v>
      </c>
      <c r="J103" t="str">
        <f>"NIL"</f>
        <v>NIL</v>
      </c>
      <c r="K103" t="str">
        <f>"800.00"</f>
        <v>800.00</v>
      </c>
      <c r="L103" t="str">
        <f>"800.00"</f>
        <v>800.00</v>
      </c>
      <c r="M103" t="str">
        <f>"from hazran"</f>
        <v>from hazran</v>
      </c>
      <c r="N103" t="str">
        <f>"AB. HADI MAD"</f>
        <v>AB. HADI MAD</v>
      </c>
      <c r="O103" t="str">
        <f>"CIMB BANK"</f>
        <v>CIMB BANK</v>
      </c>
      <c r="P103" t="str">
        <f>"CIBBMYKL"</f>
        <v>CIBBMYKL</v>
      </c>
      <c r="Q103" t="str">
        <f>"from hazran"</f>
        <v>from hazran</v>
      </c>
      <c r="R103" t="str">
        <f>"NIL"</f>
        <v>NIL</v>
      </c>
      <c r="S103" t="str">
        <f>"iPAY to AB. HADI MAD (CIMB BANK: 14410000089076)"</f>
        <v>iPAY to AB. HADI MAD (CIMB BANK: 14410000089076)</v>
      </c>
      <c r="T103" t="str">
        <f t="shared" si="16"/>
        <v>2014-01-27</v>
      </c>
      <c r="U103" t="s">
        <v>34</v>
      </c>
      <c r="V103" t="str">
        <f>"System error"</f>
        <v>System error</v>
      </c>
      <c r="W103" t="str">
        <f>"NIL"</f>
        <v>NIL</v>
      </c>
      <c r="X103" t="str">
        <f t="shared" si="24"/>
        <v>219.93.33.173</v>
      </c>
    </row>
    <row r="104" spans="1:24">
      <c r="A104" t="s">
        <v>127</v>
      </c>
      <c r="B104" t="str">
        <f>"27/01/2014 10:22:46"</f>
        <v>27/01/2014 10:22:46</v>
      </c>
      <c r="C104" t="str">
        <f>"276"</f>
        <v>276</v>
      </c>
      <c r="D104" t="str">
        <f>"hazran1"</f>
        <v>hazran1</v>
      </c>
      <c r="E104" t="str">
        <f>"MOHD HAZRAN BIN ABD HADI"</f>
        <v>MOHD HAZRAN BIN ABD HADI</v>
      </c>
      <c r="F104" t="str">
        <f>"011050001617"</f>
        <v>011050001617</v>
      </c>
      <c r="G104" t="str">
        <f>"14410000089076"</f>
        <v>14410000089076</v>
      </c>
      <c r="H104" t="str">
        <f t="shared" si="22"/>
        <v>MYR</v>
      </c>
      <c r="I104" t="str">
        <f t="shared" si="22"/>
        <v>MYR</v>
      </c>
      <c r="J104" t="str">
        <f>"2005-08-29"</f>
        <v>2005-08-29</v>
      </c>
      <c r="K104" t="str">
        <f>"800.00"</f>
        <v>800.00</v>
      </c>
      <c r="L104" t="str">
        <f>"800.00"</f>
        <v>800.00</v>
      </c>
      <c r="M104" t="str">
        <f>"from hazran"</f>
        <v>from hazran</v>
      </c>
      <c r="N104" t="str">
        <f>"AB. HADI MAD"</f>
        <v>AB. HADI MAD</v>
      </c>
      <c r="O104" t="str">
        <f>"CIMB BANK"</f>
        <v>CIMB BANK</v>
      </c>
      <c r="P104" t="str">
        <f>"CIBBMYKL"</f>
        <v>CIBBMYKL</v>
      </c>
      <c r="Q104" t="str">
        <f>"from hazran"</f>
        <v>from hazran</v>
      </c>
      <c r="R104" t="str">
        <f>"NIL"</f>
        <v>NIL</v>
      </c>
      <c r="S104" t="str">
        <f>"iPAY to AB. HADI MAD (CIMB BANK: 14410000089076) (Ref No: 270114158310)"</f>
        <v>iPAY to AB. HADI MAD (CIMB BANK: 14410000089076) (Ref No: 270114158310)</v>
      </c>
      <c r="T104" t="str">
        <f t="shared" si="16"/>
        <v>2014-01-27</v>
      </c>
      <c r="U104" t="s">
        <v>32</v>
      </c>
      <c r="V104" t="str">
        <f t="shared" ref="V104:V110" si="25">"Successful"</f>
        <v>Successful</v>
      </c>
      <c r="W104" t="str">
        <f>"270114158310"</f>
        <v>270114158310</v>
      </c>
      <c r="X104" t="str">
        <f t="shared" si="24"/>
        <v>219.93.33.173</v>
      </c>
    </row>
    <row r="105" spans="1:24">
      <c r="A105" t="s">
        <v>128</v>
      </c>
      <c r="B105" t="str">
        <f>"27/01/2014 10:23:28"</f>
        <v>27/01/2014 10:23:28</v>
      </c>
      <c r="C105" t="str">
        <f>"891"</f>
        <v>891</v>
      </c>
      <c r="D105" t="str">
        <f>"norulh1211"</f>
        <v>norulh1211</v>
      </c>
      <c r="E105" t="str">
        <f>"NORUL HASLIZAN BINTI HARUN"</f>
        <v>NORUL HASLIZAN BINTI HARUN</v>
      </c>
      <c r="F105" t="str">
        <f>"011020004860"</f>
        <v>011020004860</v>
      </c>
      <c r="G105" t="str">
        <f>"11423100060920"</f>
        <v>11423100060920</v>
      </c>
      <c r="H105" t="str">
        <f t="shared" si="22"/>
        <v>MYR</v>
      </c>
      <c r="I105" t="str">
        <f t="shared" si="22"/>
        <v>MYR</v>
      </c>
      <c r="J105" t="str">
        <f>"2007-06-14"</f>
        <v>2007-06-14</v>
      </c>
      <c r="K105" t="str">
        <f>"850.00"</f>
        <v>850.00</v>
      </c>
      <c r="L105" t="str">
        <f>"850.00"</f>
        <v>850.00</v>
      </c>
      <c r="M105" t="str">
        <f>"NIL"</f>
        <v>NIL</v>
      </c>
      <c r="N105" t="str">
        <f>"NORUL HASLIZA"</f>
        <v>NORUL HASLIZA</v>
      </c>
      <c r="O105" t="str">
        <f>"RHB BANK"</f>
        <v>RHB BANK</v>
      </c>
      <c r="P105" t="str">
        <f>"RHBBMYKL"</f>
        <v>RHBBMYKL</v>
      </c>
      <c r="Q105" t="str">
        <f>"NIL"</f>
        <v>NIL</v>
      </c>
      <c r="R105" t="str">
        <f>"NIL"</f>
        <v>NIL</v>
      </c>
      <c r="S105" t="str">
        <f>"iPAY to NORUL HASLIZA (RHB BANK: 11423100060920) (Ref No: 270114158317)"</f>
        <v>iPAY to NORUL HASLIZA (RHB BANK: 11423100060920) (Ref No: 270114158317)</v>
      </c>
      <c r="T105" t="str">
        <f t="shared" si="16"/>
        <v>2014-01-27</v>
      </c>
      <c r="U105" t="s">
        <v>32</v>
      </c>
      <c r="V105" t="str">
        <f t="shared" si="25"/>
        <v>Successful</v>
      </c>
      <c r="W105" t="str">
        <f>"270114158317"</f>
        <v>270114158317</v>
      </c>
      <c r="X105" t="str">
        <f t="shared" si="24"/>
        <v>219.93.33.173</v>
      </c>
    </row>
    <row r="106" spans="1:24">
      <c r="A106" t="s">
        <v>129</v>
      </c>
      <c r="B106" t="str">
        <f>"27/01/2014 10:25:24"</f>
        <v>27/01/2014 10:25:24</v>
      </c>
      <c r="C106" t="str">
        <f>"33536"</f>
        <v>33536</v>
      </c>
      <c r="D106" t="str">
        <f>"JFSH70"</f>
        <v>JFSH70</v>
      </c>
      <c r="E106" t="str">
        <f>"FOONG SWEE HUN"</f>
        <v>FOONG SWEE HUN</v>
      </c>
      <c r="F106" t="str">
        <f>"001102031086"</f>
        <v>001102031086</v>
      </c>
      <c r="G106" t="str">
        <f>"5521159001421000"</f>
        <v>5521159001421000</v>
      </c>
      <c r="H106" t="str">
        <f t="shared" si="22"/>
        <v>MYR</v>
      </c>
      <c r="I106" t="str">
        <f t="shared" si="22"/>
        <v>MYR</v>
      </c>
      <c r="J106" t="str">
        <f>"2011-12-22"</f>
        <v>2011-12-22</v>
      </c>
      <c r="K106" t="str">
        <f>"252.23"</f>
        <v>252.23</v>
      </c>
      <c r="L106" t="str">
        <f>"252.23"</f>
        <v>252.23</v>
      </c>
      <c r="M106" t="str">
        <f>"NIL"</f>
        <v>NIL</v>
      </c>
      <c r="N106" t="str">
        <f>"JIMMY FOONG"</f>
        <v>JIMMY FOONG</v>
      </c>
      <c r="O106" t="str">
        <f>"CIMB BANK"</f>
        <v>CIMB BANK</v>
      </c>
      <c r="P106" t="str">
        <f>"CIBBMYKL"</f>
        <v>CIBBMYKL</v>
      </c>
      <c r="Q106" t="str">
        <f>"NIL"</f>
        <v>NIL</v>
      </c>
      <c r="R106" t="str">
        <f>"NIL"</f>
        <v>NIL</v>
      </c>
      <c r="S106" t="str">
        <f>"iPAY to JIMMY FOONG (CIMB BANK: 5521159001421000) (Ref No: 270114158313)"</f>
        <v>iPAY to JIMMY FOONG (CIMB BANK: 5521159001421000) (Ref No: 270114158313)</v>
      </c>
      <c r="T106" t="str">
        <f t="shared" si="16"/>
        <v>2014-01-27</v>
      </c>
      <c r="U106" t="s">
        <v>32</v>
      </c>
      <c r="V106" t="str">
        <f t="shared" si="25"/>
        <v>Successful</v>
      </c>
      <c r="W106" t="str">
        <f>"270114158313"</f>
        <v>270114158313</v>
      </c>
      <c r="X106" t="str">
        <f t="shared" si="24"/>
        <v>219.93.33.173</v>
      </c>
    </row>
    <row r="107" spans="1:24">
      <c r="A107" t="s">
        <v>130</v>
      </c>
      <c r="B107" t="str">
        <f>"27/01/2014 10:26:29"</f>
        <v>27/01/2014 10:26:29</v>
      </c>
      <c r="C107" t="str">
        <f>"22882"</f>
        <v>22882</v>
      </c>
      <c r="D107" t="str">
        <f>"bernfcl"</f>
        <v>bernfcl</v>
      </c>
      <c r="E107" t="str">
        <f>"BERNIE LIM FUNG CHEAN"</f>
        <v>BERNIE LIM FUNG CHEAN</v>
      </c>
      <c r="F107" t="str">
        <f>"001103012444"</f>
        <v>001103012444</v>
      </c>
      <c r="G107" t="str">
        <f>"302212360028"</f>
        <v>302212360028</v>
      </c>
      <c r="H107" t="str">
        <f t="shared" si="22"/>
        <v>MYR</v>
      </c>
      <c r="I107" t="str">
        <f t="shared" si="22"/>
        <v>MYR</v>
      </c>
      <c r="J107" t="str">
        <f>"2011-10-03"</f>
        <v>2011-10-03</v>
      </c>
      <c r="K107" t="str">
        <f>"140.00"</f>
        <v>140.00</v>
      </c>
      <c r="L107" t="str">
        <f>"140.00"</f>
        <v>140.00</v>
      </c>
      <c r="M107" t="str">
        <f>"NIL"</f>
        <v>NIL</v>
      </c>
      <c r="N107" t="str">
        <f>"LIM J YEE    HX1 MCV"</f>
        <v>LIM J YEE    HX1 MCV</v>
      </c>
      <c r="O107" t="str">
        <f>"HSBC BANK / HSBC AMANAH"</f>
        <v>HSBC BANK / HSBC AMANAH</v>
      </c>
      <c r="P107" t="str">
        <f>"HBMBMYKL"</f>
        <v>HBMBMYKL</v>
      </c>
      <c r="Q107" t="str">
        <f>"NIL"</f>
        <v>NIL</v>
      </c>
      <c r="R107" t="str">
        <f>"limjityee@hotmail.com"</f>
        <v>limjityee@hotmail.com</v>
      </c>
      <c r="S107" t="str">
        <f>"iPAY to LIM J YEE    HX1 MCV (HSBC BANK / HSBC AMANAH: 302212360028) (Ref No: 270114158318)"</f>
        <v>iPAY to LIM J YEE    HX1 MCV (HSBC BANK / HSBC AMANAH: 302212360028) (Ref No: 270114158318)</v>
      </c>
      <c r="T107" t="str">
        <f t="shared" si="16"/>
        <v>2014-01-27</v>
      </c>
      <c r="U107" t="s">
        <v>32</v>
      </c>
      <c r="V107" t="str">
        <f t="shared" si="25"/>
        <v>Successful</v>
      </c>
      <c r="W107" t="str">
        <f>"270114158318"</f>
        <v>270114158318</v>
      </c>
      <c r="X107" t="str">
        <f t="shared" si="24"/>
        <v>219.93.33.173</v>
      </c>
    </row>
    <row r="108" spans="1:24">
      <c r="A108" t="s">
        <v>131</v>
      </c>
      <c r="B108" t="str">
        <f>"27/01/2014 10:26:57"</f>
        <v>27/01/2014 10:26:57</v>
      </c>
      <c r="C108" t="str">
        <f>"1262"</f>
        <v>1262</v>
      </c>
      <c r="D108" t="str">
        <f>"suhaila"</f>
        <v>suhaila</v>
      </c>
      <c r="E108" t="str">
        <f>"SUHAILA BINTI YAHYA"</f>
        <v>SUHAILA BINTI YAHYA</v>
      </c>
      <c r="F108" t="str">
        <f>"001103000861"</f>
        <v>001103000861</v>
      </c>
      <c r="G108" t="str">
        <f>"114012237252"</f>
        <v>114012237252</v>
      </c>
      <c r="H108" t="str">
        <f t="shared" si="22"/>
        <v>MYR</v>
      </c>
      <c r="I108" t="str">
        <f t="shared" si="22"/>
        <v>MYR</v>
      </c>
      <c r="J108" t="str">
        <f>"2007-12-11"</f>
        <v>2007-12-11</v>
      </c>
      <c r="K108" t="str">
        <f>"150.00"</f>
        <v>150.00</v>
      </c>
      <c r="L108" t="str">
        <f>"150.00"</f>
        <v>150.00</v>
      </c>
      <c r="M108" t="str">
        <f>"NIL"</f>
        <v>NIL</v>
      </c>
      <c r="N108" t="str">
        <f>"SUHAILA BINTI YAHYA"</f>
        <v>SUHAILA BINTI YAHYA</v>
      </c>
      <c r="O108" t="str">
        <f>"MAYBANK"</f>
        <v>MAYBANK</v>
      </c>
      <c r="P108" t="str">
        <f>"MBBEMYKL"</f>
        <v>MBBEMYKL</v>
      </c>
      <c r="Q108" t="str">
        <f>"NIL"</f>
        <v>NIL</v>
      </c>
      <c r="R108" t="str">
        <f>"suhaila.yahya@kfh.com.my"</f>
        <v>suhaila.yahya@kfh.com.my</v>
      </c>
      <c r="S108" t="str">
        <f>"iPAY to SUHAILA BINTI YAHYA (MAYBANK: 114012237252) (Ref No: 270114158329)"</f>
        <v>iPAY to SUHAILA BINTI YAHYA (MAYBANK: 114012237252) (Ref No: 270114158329)</v>
      </c>
      <c r="T108" t="str">
        <f t="shared" si="16"/>
        <v>2014-01-27</v>
      </c>
      <c r="U108" t="s">
        <v>32</v>
      </c>
      <c r="V108" t="str">
        <f t="shared" si="25"/>
        <v>Successful</v>
      </c>
      <c r="W108" t="str">
        <f>"270114158329"</f>
        <v>270114158329</v>
      </c>
      <c r="X108" t="str">
        <f t="shared" si="24"/>
        <v>219.93.33.173</v>
      </c>
    </row>
    <row r="109" spans="1:24">
      <c r="A109" t="s">
        <v>132</v>
      </c>
      <c r="B109" t="str">
        <f>"27/01/2014 10:28:08"</f>
        <v>27/01/2014 10:28:08</v>
      </c>
      <c r="C109" t="str">
        <f>"22882"</f>
        <v>22882</v>
      </c>
      <c r="D109" t="str">
        <f>"bernfcl"</f>
        <v>bernfcl</v>
      </c>
      <c r="E109" t="str">
        <f>"BERNIE LIM FUNG CHEAN"</f>
        <v>BERNIE LIM FUNG CHEAN</v>
      </c>
      <c r="F109" t="str">
        <f>"001103012444"</f>
        <v>001103012444</v>
      </c>
      <c r="G109" t="str">
        <f>"352391890108"</f>
        <v>352391890108</v>
      </c>
      <c r="H109" t="str">
        <f t="shared" si="22"/>
        <v>MYR</v>
      </c>
      <c r="I109" t="str">
        <f t="shared" si="22"/>
        <v>MYR</v>
      </c>
      <c r="J109" t="str">
        <f>"2011-10-03"</f>
        <v>2011-10-03</v>
      </c>
      <c r="K109" t="str">
        <f>"93.97"</f>
        <v>93.97</v>
      </c>
      <c r="L109" t="str">
        <f>"93.97"</f>
        <v>93.97</v>
      </c>
      <c r="M109" t="str">
        <f>"NIL"</f>
        <v>NIL</v>
      </c>
      <c r="N109" t="str">
        <f>"BERNIE LIM FUNG CHEAN"</f>
        <v>BERNIE LIM FUNG CHEAN</v>
      </c>
      <c r="O109" t="str">
        <f>"HSBC BANK / HSBC AMANAH"</f>
        <v>HSBC BANK / HSBC AMANAH</v>
      </c>
      <c r="P109" t="str">
        <f>"HBMBMYKL"</f>
        <v>HBMBMYKL</v>
      </c>
      <c r="Q109" t="str">
        <f>"NIL"</f>
        <v>NIL</v>
      </c>
      <c r="R109" t="str">
        <f>"fclim_bern@yahoo.com"</f>
        <v>fclim_bern@yahoo.com</v>
      </c>
      <c r="S109" t="str">
        <f>"iPAY to BERNIE LIM FUNG CHEAN (HSBC BANK / HSBC AMANAH: 352391890108) (Ref No: 270114158325)"</f>
        <v>iPAY to BERNIE LIM FUNG CHEAN (HSBC BANK / HSBC AMANAH: 352391890108) (Ref No: 270114158325)</v>
      </c>
      <c r="T109" t="str">
        <f t="shared" si="16"/>
        <v>2014-01-27</v>
      </c>
      <c r="U109" t="s">
        <v>32</v>
      </c>
      <c r="V109" t="str">
        <f t="shared" si="25"/>
        <v>Successful</v>
      </c>
      <c r="W109" t="str">
        <f>"270114158325"</f>
        <v>270114158325</v>
      </c>
      <c r="X109" t="str">
        <f t="shared" si="24"/>
        <v>219.93.33.173</v>
      </c>
    </row>
    <row r="110" spans="1:24">
      <c r="A110" t="s">
        <v>133</v>
      </c>
      <c r="B110" t="str">
        <f>"27/01/2014 10:28:21"</f>
        <v>27/01/2014 10:28:21</v>
      </c>
      <c r="C110" t="str">
        <f>"13810"</f>
        <v>13810</v>
      </c>
      <c r="D110" t="str">
        <f>"mimiealea"</f>
        <v>mimiealea</v>
      </c>
      <c r="E110" t="str">
        <f>"MIMIE ASZWANA ALEA BINTI JAAMAT"</f>
        <v>MIMIE ASZWANA ALEA BINTI JAAMAT</v>
      </c>
      <c r="F110" t="str">
        <f>"001103005782"</f>
        <v>001103005782</v>
      </c>
      <c r="G110" t="str">
        <f>"112183018641"</f>
        <v>112183018641</v>
      </c>
      <c r="H110" t="str">
        <f t="shared" ref="H110:I129" si="26">"MYR"</f>
        <v>MYR</v>
      </c>
      <c r="I110" t="str">
        <f t="shared" si="26"/>
        <v>MYR</v>
      </c>
      <c r="J110" t="str">
        <f>"2011-07-04"</f>
        <v>2011-07-04</v>
      </c>
      <c r="K110" t="str">
        <f>"250.00"</f>
        <v>250.00</v>
      </c>
      <c r="L110" t="str">
        <f>"250.00"</f>
        <v>250.00</v>
      </c>
      <c r="M110" t="str">
        <f>"Sewa Rumah"</f>
        <v>Sewa Rumah</v>
      </c>
      <c r="N110" t="str">
        <f>"ALIAS B MAIN"</f>
        <v>ALIAS B MAIN</v>
      </c>
      <c r="O110" t="str">
        <f>"MAYBANK"</f>
        <v>MAYBANK</v>
      </c>
      <c r="P110" t="str">
        <f>"MBBEMYKL"</f>
        <v>MBBEMYKL</v>
      </c>
      <c r="Q110" t="str">
        <f>"27012014"</f>
        <v>27012014</v>
      </c>
      <c r="R110" t="str">
        <f>"nurulwahidahalias@yahoo.com"</f>
        <v>nurulwahidahalias@yahoo.com</v>
      </c>
      <c r="S110" t="str">
        <f>"iPAY to ALIAS B MAIN (MAYBANK: 112183018641) (Ref No: 270114158326)"</f>
        <v>iPAY to ALIAS B MAIN (MAYBANK: 112183018641) (Ref No: 270114158326)</v>
      </c>
      <c r="T110" t="str">
        <f t="shared" si="16"/>
        <v>2014-01-27</v>
      </c>
      <c r="U110" t="s">
        <v>32</v>
      </c>
      <c r="V110" t="str">
        <f t="shared" si="25"/>
        <v>Successful</v>
      </c>
      <c r="W110" t="str">
        <f>"270114158326"</f>
        <v>270114158326</v>
      </c>
      <c r="X110" t="str">
        <f t="shared" si="24"/>
        <v>219.93.33.173</v>
      </c>
    </row>
    <row r="111" spans="1:24">
      <c r="A111" t="s">
        <v>134</v>
      </c>
      <c r="B111" t="str">
        <f>"27/01/2014 10:31:56"</f>
        <v>27/01/2014 10:31:56</v>
      </c>
      <c r="C111" t="str">
        <f>"12739"</f>
        <v>12739</v>
      </c>
      <c r="D111" t="str">
        <f>"alex0701"</f>
        <v>alex0701</v>
      </c>
      <c r="E111" t="str">
        <f>"CHOO HOCK WAI"</f>
        <v>CHOO HOCK WAI</v>
      </c>
      <c r="F111" t="str">
        <f>"001102027275"</f>
        <v>001102027275</v>
      </c>
      <c r="G111" t="str">
        <f>"108020379274"</f>
        <v>108020379274</v>
      </c>
      <c r="H111" t="str">
        <f t="shared" si="26"/>
        <v>MYR</v>
      </c>
      <c r="I111" t="str">
        <f t="shared" si="26"/>
        <v>MYR</v>
      </c>
      <c r="J111" t="str">
        <f>"NIL"</f>
        <v>NIL</v>
      </c>
      <c r="K111" t="str">
        <f>"500.00"</f>
        <v>500.00</v>
      </c>
      <c r="L111" t="str">
        <f>"500.00"</f>
        <v>500.00</v>
      </c>
      <c r="M111" t="str">
        <f>"CNY parents 2014"</f>
        <v>CNY parents 2014</v>
      </c>
      <c r="N111" t="str">
        <f>"CHOY CHONG HOE"</f>
        <v>CHOY CHONG HOE</v>
      </c>
      <c r="O111" t="str">
        <f>"MAYBANK"</f>
        <v>MAYBANK</v>
      </c>
      <c r="P111" t="str">
        <f>"MBBEMYKL"</f>
        <v>MBBEMYKL</v>
      </c>
      <c r="Q111" t="str">
        <f>"270114"</f>
        <v>270114</v>
      </c>
      <c r="R111" t="str">
        <f>"hockwai_choo@yahoo.com.sg"</f>
        <v>hockwai_choo@yahoo.com.sg</v>
      </c>
      <c r="S111" t="str">
        <f>"iPAY to CHOY CHONG HOE (MAYBANK: 108020379274)"</f>
        <v>iPAY to CHOY CHONG HOE (MAYBANK: 108020379274)</v>
      </c>
      <c r="T111" t="str">
        <f t="shared" si="16"/>
        <v>2014-01-27</v>
      </c>
      <c r="U111" t="s">
        <v>34</v>
      </c>
      <c r="V111" t="str">
        <f>"System error"</f>
        <v>System error</v>
      </c>
      <c r="W111" t="str">
        <f>"NIL"</f>
        <v>NIL</v>
      </c>
      <c r="X111" t="str">
        <f t="shared" si="24"/>
        <v>219.93.33.173</v>
      </c>
    </row>
    <row r="112" spans="1:24">
      <c r="A112" t="s">
        <v>135</v>
      </c>
      <c r="B112" t="str">
        <f>"27/01/2014 10:33:07"</f>
        <v>27/01/2014 10:33:07</v>
      </c>
      <c r="C112" t="str">
        <f>"33536"</f>
        <v>33536</v>
      </c>
      <c r="D112" t="str">
        <f>"JFSH70"</f>
        <v>JFSH70</v>
      </c>
      <c r="E112" t="str">
        <f>"FOONG SWEE HUN"</f>
        <v>FOONG SWEE HUN</v>
      </c>
      <c r="F112" t="str">
        <f>"001102031086"</f>
        <v>001102031086</v>
      </c>
      <c r="G112" t="str">
        <f>"12550000434054"</f>
        <v>12550000434054</v>
      </c>
      <c r="H112" t="str">
        <f t="shared" si="26"/>
        <v>MYR</v>
      </c>
      <c r="I112" t="str">
        <f t="shared" si="26"/>
        <v>MYR</v>
      </c>
      <c r="J112" t="str">
        <f>"NIL"</f>
        <v>NIL</v>
      </c>
      <c r="K112" t="str">
        <f>"1167.00"</f>
        <v>1167.00</v>
      </c>
      <c r="L112" t="str">
        <f>"1167.00"</f>
        <v>1167.00</v>
      </c>
      <c r="M112" t="str">
        <f>"NIL"</f>
        <v>NIL</v>
      </c>
      <c r="N112" t="str">
        <f>"FOONG SWEEHUN"</f>
        <v>FOONG SWEEHUN</v>
      </c>
      <c r="O112" t="str">
        <f>"CIMB BANK"</f>
        <v>CIMB BANK</v>
      </c>
      <c r="P112" t="str">
        <f>"CIBBMYKL"</f>
        <v>CIBBMYKL</v>
      </c>
      <c r="Q112" t="str">
        <f>"NIL"</f>
        <v>NIL</v>
      </c>
      <c r="R112" t="str">
        <f>"NIL"</f>
        <v>NIL</v>
      </c>
      <c r="S112" t="str">
        <f>"iPAY to FOONG SWEEHUN (CIMB BANK: 12550000434054)"</f>
        <v>iPAY to FOONG SWEEHUN (CIMB BANK: 12550000434054)</v>
      </c>
      <c r="T112" t="str">
        <f t="shared" si="16"/>
        <v>2014-01-27</v>
      </c>
      <c r="U112" t="s">
        <v>34</v>
      </c>
      <c r="V112" t="str">
        <f>"System error"</f>
        <v>System error</v>
      </c>
      <c r="W112" t="str">
        <f>"NIL"</f>
        <v>NIL</v>
      </c>
      <c r="X112" t="str">
        <f t="shared" si="24"/>
        <v>219.93.33.173</v>
      </c>
    </row>
    <row r="113" spans="1:24">
      <c r="A113" t="s">
        <v>136</v>
      </c>
      <c r="B113" t="str">
        <f>"27/01/2014 10:42:40"</f>
        <v>27/01/2014 10:42:40</v>
      </c>
      <c r="C113" t="str">
        <f>"5278"</f>
        <v>5278</v>
      </c>
      <c r="D113" t="str">
        <f>"bernardtan1901"</f>
        <v>bernardtan1901</v>
      </c>
      <c r="E113" t="str">
        <f>"BERNARD TAN BOON KEAT"</f>
        <v>BERNARD TAN BOON KEAT</v>
      </c>
      <c r="F113" t="str">
        <f>"004102005919"</f>
        <v>004102005919</v>
      </c>
      <c r="G113" t="str">
        <f>"1633030303"</f>
        <v>1633030303</v>
      </c>
      <c r="H113" t="str">
        <f t="shared" si="26"/>
        <v>MYR</v>
      </c>
      <c r="I113" t="str">
        <f t="shared" si="26"/>
        <v>MYR</v>
      </c>
      <c r="J113" t="str">
        <f>"2009-10-19"</f>
        <v>2009-10-19</v>
      </c>
      <c r="K113" t="str">
        <f>"1044.00"</f>
        <v>1044.00</v>
      </c>
      <c r="L113" t="str">
        <f>"1044.00"</f>
        <v>1044.00</v>
      </c>
      <c r="M113" t="str">
        <f>"NIL"</f>
        <v>NIL</v>
      </c>
      <c r="N113" t="str">
        <f>"BERNARD TAN BOON KEAT"</f>
        <v>BERNARD TAN BOON KEAT</v>
      </c>
      <c r="O113" t="str">
        <f>"UNITED OVERSEAS BANK"</f>
        <v>UNITED OVERSEAS BANK</v>
      </c>
      <c r="P113" t="str">
        <f>"UOVBMYKL"</f>
        <v>UOVBMYKL</v>
      </c>
      <c r="Q113" t="str">
        <f>"NIL"</f>
        <v>NIL</v>
      </c>
      <c r="R113" t="str">
        <f>"bernardtan1901@gmail.com"</f>
        <v>bernardtan1901@gmail.com</v>
      </c>
      <c r="S113" t="str">
        <f>"iPAY to BERNARD TAN BOON KEAT (UNITED OVERSEAS BANK: 1633030303) (Ref No: 270114158350)"</f>
        <v>iPAY to BERNARD TAN BOON KEAT (UNITED OVERSEAS BANK: 1633030303) (Ref No: 270114158350)</v>
      </c>
      <c r="T113" t="str">
        <f t="shared" si="16"/>
        <v>2014-01-27</v>
      </c>
      <c r="U113" t="s">
        <v>32</v>
      </c>
      <c r="V113" t="str">
        <f>"Successful"</f>
        <v>Successful</v>
      </c>
      <c r="W113" t="str">
        <f>"270114158350"</f>
        <v>270114158350</v>
      </c>
      <c r="X113" t="str">
        <f t="shared" si="24"/>
        <v>219.93.33.173</v>
      </c>
    </row>
    <row r="114" spans="1:24">
      <c r="A114" t="s">
        <v>137</v>
      </c>
      <c r="B114" t="str">
        <f>"27/01/2014 10:43:01"</f>
        <v>27/01/2014 10:43:01</v>
      </c>
      <c r="C114" t="str">
        <f>"1338"</f>
        <v>1338</v>
      </c>
      <c r="D114" t="str">
        <f>"SwimChap73"</f>
        <v>SwimChap73</v>
      </c>
      <c r="E114" t="str">
        <f>"ABDUL HARIS BIN ABDUL HALIM"</f>
        <v>ABDUL HARIS BIN ABDUL HALIM</v>
      </c>
      <c r="F114" t="str">
        <f>"001102006197"</f>
        <v>001102006197</v>
      </c>
      <c r="G114" t="str">
        <f>"164557078189"</f>
        <v>164557078189</v>
      </c>
      <c r="H114" t="str">
        <f t="shared" si="26"/>
        <v>MYR</v>
      </c>
      <c r="I114" t="str">
        <f t="shared" si="26"/>
        <v>MYR</v>
      </c>
      <c r="J114" t="str">
        <f>"NIL"</f>
        <v>NIL</v>
      </c>
      <c r="K114" t="str">
        <f>"2000.00"</f>
        <v>2000.00</v>
      </c>
      <c r="L114" t="str">
        <f>"2000.00"</f>
        <v>2000.00</v>
      </c>
      <c r="M114" t="str">
        <f>"Bayar keta"</f>
        <v>Bayar keta</v>
      </c>
      <c r="N114" t="str">
        <f>"ABDUL HARIS BIN ABDU"</f>
        <v>ABDUL HARIS BIN ABDU</v>
      </c>
      <c r="O114" t="str">
        <f>"MAYBANK"</f>
        <v>MAYBANK</v>
      </c>
      <c r="P114" t="str">
        <f>"MBBEMYKL"</f>
        <v>MBBEMYKL</v>
      </c>
      <c r="Q114" t="str">
        <f>"NIL"</f>
        <v>NIL</v>
      </c>
      <c r="R114" t="str">
        <f>"haris.halim73@gmail.com"</f>
        <v>haris.halim73@gmail.com</v>
      </c>
      <c r="S114" t="str">
        <f>"iPAY to ABDUL HARIS BIN ABDU (MAYBANK: 164557078189)"</f>
        <v>iPAY to ABDUL HARIS BIN ABDU (MAYBANK: 164557078189)</v>
      </c>
      <c r="T114" t="str">
        <f t="shared" si="16"/>
        <v>2014-01-27</v>
      </c>
      <c r="U114" t="s">
        <v>34</v>
      </c>
      <c r="V114" t="str">
        <f>"System error"</f>
        <v>System error</v>
      </c>
      <c r="W114" t="str">
        <f>"NIL"</f>
        <v>NIL</v>
      </c>
      <c r="X114" t="str">
        <f t="shared" si="24"/>
        <v>219.93.33.173</v>
      </c>
    </row>
    <row r="115" spans="1:24">
      <c r="A115" t="s">
        <v>138</v>
      </c>
      <c r="B115" t="str">
        <f>"27/01/2014 10:44:03"</f>
        <v>27/01/2014 10:44:03</v>
      </c>
      <c r="C115" t="str">
        <f>"43566"</f>
        <v>43566</v>
      </c>
      <c r="D115" t="str">
        <f>"badriyahnur89"</f>
        <v>badriyahnur89</v>
      </c>
      <c r="E115" t="str">
        <f>"NUR BADRIYAH BINTI MOKHTAR"</f>
        <v>NUR BADRIYAH BINTI MOKHTAR</v>
      </c>
      <c r="F115" t="str">
        <f>"005103002152"</f>
        <v>005103002152</v>
      </c>
      <c r="G115" t="str">
        <f>"4645300000051786"</f>
        <v>4645300000051786</v>
      </c>
      <c r="H115" t="str">
        <f t="shared" si="26"/>
        <v>MYR</v>
      </c>
      <c r="I115" t="str">
        <f t="shared" si="26"/>
        <v>MYR</v>
      </c>
      <c r="J115" t="str">
        <f>"2012-07-18"</f>
        <v>2012-07-18</v>
      </c>
      <c r="K115" t="str">
        <f>"140.00"</f>
        <v>140.00</v>
      </c>
      <c r="L115" t="str">
        <f>"140.00"</f>
        <v>140.00</v>
      </c>
      <c r="M115" t="str">
        <f>"credit card payment"</f>
        <v>credit card payment</v>
      </c>
      <c r="N115" t="str">
        <f>"MS. NUR BADRIYAH MOKHTAR"</f>
        <v>MS. NUR BADRIYAH MOKHTAR</v>
      </c>
      <c r="O115" t="str">
        <f>"CITIBANK"</f>
        <v>CITIBANK</v>
      </c>
      <c r="P115" t="str">
        <f>"CITIMYKL"</f>
        <v>CITIMYKL</v>
      </c>
      <c r="Q115" t="str">
        <f>"NIL"</f>
        <v>NIL</v>
      </c>
      <c r="R115" t="str">
        <f>"NIL"</f>
        <v>NIL</v>
      </c>
      <c r="S115" t="str">
        <f>"iPAY to MS. NUR BADRIYAH MOKHTAR (CITIBANK: 4645300000051786) (Ref No: 270114158355)"</f>
        <v>iPAY to MS. NUR BADRIYAH MOKHTAR (CITIBANK: 4645300000051786) (Ref No: 270114158355)</v>
      </c>
      <c r="T115" t="str">
        <f t="shared" si="16"/>
        <v>2014-01-27</v>
      </c>
      <c r="U115" t="s">
        <v>32</v>
      </c>
      <c r="V115" t="str">
        <f t="shared" ref="V115:V120" si="27">"Successful"</f>
        <v>Successful</v>
      </c>
      <c r="W115" t="str">
        <f>"270114158355"</f>
        <v>270114158355</v>
      </c>
      <c r="X115" t="str">
        <f t="shared" si="24"/>
        <v>219.93.33.173</v>
      </c>
    </row>
    <row r="116" spans="1:24">
      <c r="A116" t="s">
        <v>139</v>
      </c>
      <c r="B116" t="str">
        <f>"27/01/2014 10:49:35"</f>
        <v>27/01/2014 10:49:35</v>
      </c>
      <c r="C116" t="str">
        <f>"20411"</f>
        <v>20411</v>
      </c>
      <c r="D116" t="str">
        <f>"mshukri"</f>
        <v>mshukri</v>
      </c>
      <c r="E116" t="str">
        <f>"MUHAMMAD SHUKRI BIN ABD RAZAK"</f>
        <v>MUHAMMAD SHUKRI BIN ABD RAZAK</v>
      </c>
      <c r="F116" t="str">
        <f>"001103010743"</f>
        <v>001103010743</v>
      </c>
      <c r="G116" t="str">
        <f>"4645300000076718"</f>
        <v>4645300000076718</v>
      </c>
      <c r="H116" t="str">
        <f t="shared" si="26"/>
        <v>MYR</v>
      </c>
      <c r="I116" t="str">
        <f t="shared" si="26"/>
        <v>MYR</v>
      </c>
      <c r="J116" t="str">
        <f>"2011-09-13"</f>
        <v>2011-09-13</v>
      </c>
      <c r="K116" t="str">
        <f>"625.19"</f>
        <v>625.19</v>
      </c>
      <c r="L116" t="str">
        <f>"625.19"</f>
        <v>625.19</v>
      </c>
      <c r="M116" t="str">
        <f>"Citibank"</f>
        <v>Citibank</v>
      </c>
      <c r="N116" t="str">
        <f>"MR. MUHAMMAD SHUKRI ABD RA"</f>
        <v>MR. MUHAMMAD SHUKRI ABD RA</v>
      </c>
      <c r="O116" t="str">
        <f>"CITIBANK"</f>
        <v>CITIBANK</v>
      </c>
      <c r="P116" t="str">
        <f>"CITIMYKL"</f>
        <v>CITIMYKL</v>
      </c>
      <c r="Q116" t="str">
        <f>"Air Asia"</f>
        <v>Air Asia</v>
      </c>
      <c r="R116" t="str">
        <f>"muhammadshukriabdrazak@gmail.com"</f>
        <v>muhammadshukriabdrazak@gmail.com</v>
      </c>
      <c r="S116" t="str">
        <f>"iPAY to MR. MUHAMMAD SHUKRI ABD RA (CITIBANK: 4645300000076718) (Ref No: 270114158363)"</f>
        <v>iPAY to MR. MUHAMMAD SHUKRI ABD RA (CITIBANK: 4645300000076718) (Ref No: 270114158363)</v>
      </c>
      <c r="T116" t="str">
        <f t="shared" si="16"/>
        <v>2014-01-27</v>
      </c>
      <c r="U116" t="s">
        <v>32</v>
      </c>
      <c r="V116" t="str">
        <f t="shared" si="27"/>
        <v>Successful</v>
      </c>
      <c r="W116" t="str">
        <f>"270114158363"</f>
        <v>270114158363</v>
      </c>
      <c r="X116" t="str">
        <f t="shared" si="24"/>
        <v>219.93.33.173</v>
      </c>
    </row>
    <row r="117" spans="1:24">
      <c r="A117" t="s">
        <v>140</v>
      </c>
      <c r="B117" t="str">
        <f>"27/01/2014 10:51:05"</f>
        <v>27/01/2014 10:51:05</v>
      </c>
      <c r="C117" t="str">
        <f>"53532"</f>
        <v>53532</v>
      </c>
      <c r="D117" t="str">
        <f>"makyen"</f>
        <v>makyen</v>
      </c>
      <c r="E117" t="str">
        <f>"YENNYLIZA BINTI MASO'OD"</f>
        <v>YENNYLIZA BINTI MASO'OD</v>
      </c>
      <c r="F117" t="str">
        <f>"001102038684"</f>
        <v>001102038684</v>
      </c>
      <c r="G117" t="str">
        <f>"200020054179"</f>
        <v>200020054179</v>
      </c>
      <c r="H117" t="str">
        <f t="shared" si="26"/>
        <v>MYR</v>
      </c>
      <c r="I117" t="str">
        <f t="shared" si="26"/>
        <v>MYR</v>
      </c>
      <c r="J117" t="str">
        <f>"2013-01-09"</f>
        <v>2013-01-09</v>
      </c>
      <c r="K117" t="str">
        <f>"70.00"</f>
        <v>70.00</v>
      </c>
      <c r="L117" t="str">
        <f>"70.00"</f>
        <v>70.00</v>
      </c>
      <c r="M117" t="str">
        <f>"dobi n upah"</f>
        <v>dobi n upah</v>
      </c>
      <c r="N117" t="str">
        <f>"MURALITHARAN A/L LETCHUMAN"</f>
        <v>MURALITHARAN A/L LETCHUMAN</v>
      </c>
      <c r="O117" t="str">
        <f>"AFFIN BANK"</f>
        <v>AFFIN BANK</v>
      </c>
      <c r="P117" t="str">
        <f>"PHBMMYKL"</f>
        <v>PHBMMYKL</v>
      </c>
      <c r="Q117" t="str">
        <f>"dobi n upah"</f>
        <v>dobi n upah</v>
      </c>
      <c r="R117" t="str">
        <f>"yennyliza@gmail.com"</f>
        <v>yennyliza@gmail.com</v>
      </c>
      <c r="S117" t="str">
        <f>"iPAY to MURALITHARAN A/L LETCHUMAN (AFFIN BANK: 200020054179) (Ref No: 270114158366)"</f>
        <v>iPAY to MURALITHARAN A/L LETCHUMAN (AFFIN BANK: 200020054179) (Ref No: 270114158366)</v>
      </c>
      <c r="T117" t="str">
        <f t="shared" si="16"/>
        <v>2014-01-27</v>
      </c>
      <c r="U117" t="s">
        <v>32</v>
      </c>
      <c r="V117" t="str">
        <f t="shared" si="27"/>
        <v>Successful</v>
      </c>
      <c r="W117" t="str">
        <f>"270114158366"</f>
        <v>270114158366</v>
      </c>
      <c r="X117" t="str">
        <f t="shared" si="24"/>
        <v>219.93.33.173</v>
      </c>
    </row>
    <row r="118" spans="1:24">
      <c r="A118" t="s">
        <v>141</v>
      </c>
      <c r="B118" t="str">
        <f>"27/01/2014 10:52:13"</f>
        <v>27/01/2014 10:52:13</v>
      </c>
      <c r="C118" t="str">
        <f>"7170"</f>
        <v>7170</v>
      </c>
      <c r="D118" t="str">
        <f>"AZIRULS"</f>
        <v>AZIRULS</v>
      </c>
      <c r="E118" t="str">
        <f>"AZIRUL SALIHIN BIN ISMAIL"</f>
        <v>AZIRUL SALIHIN BIN ISMAIL</v>
      </c>
      <c r="F118" t="str">
        <f>"001105013931"</f>
        <v>001105013931</v>
      </c>
      <c r="G118" t="str">
        <f>"162254742986"</f>
        <v>162254742986</v>
      </c>
      <c r="H118" t="str">
        <f t="shared" si="26"/>
        <v>MYR</v>
      </c>
      <c r="I118" t="str">
        <f t="shared" si="26"/>
        <v>MYR</v>
      </c>
      <c r="J118" t="str">
        <f>"2010-08-13"</f>
        <v>2010-08-13</v>
      </c>
      <c r="K118" t="str">
        <f>"770.00"</f>
        <v>770.00</v>
      </c>
      <c r="L118" t="str">
        <f>"770.00"</f>
        <v>770.00</v>
      </c>
      <c r="M118" t="str">
        <f>"MAK ABAH"</f>
        <v>MAK ABAH</v>
      </c>
      <c r="N118" t="str">
        <f>"ISMAIL MD. HASHIM"</f>
        <v>ISMAIL MD. HASHIM</v>
      </c>
      <c r="O118" t="str">
        <f>"MAYBANK"</f>
        <v>MAYBANK</v>
      </c>
      <c r="P118" t="str">
        <f>"MBBEMYKL"</f>
        <v>MBBEMYKL</v>
      </c>
      <c r="Q118" t="str">
        <f>"NIL"</f>
        <v>NIL</v>
      </c>
      <c r="R118" t="str">
        <f>"azirul.salihin@kfh.com.my"</f>
        <v>azirul.salihin@kfh.com.my</v>
      </c>
      <c r="S118" t="str">
        <f>"iPAY to ISMAIL MD. HASHIM (MAYBANK: 162254742986) (Ref No: 270114158359)"</f>
        <v>iPAY to ISMAIL MD. HASHIM (MAYBANK: 162254742986) (Ref No: 270114158359)</v>
      </c>
      <c r="T118" t="str">
        <f t="shared" si="16"/>
        <v>2014-01-27</v>
      </c>
      <c r="U118" t="s">
        <v>32</v>
      </c>
      <c r="V118" t="str">
        <f t="shared" si="27"/>
        <v>Successful</v>
      </c>
      <c r="W118" t="str">
        <f>"270114158359"</f>
        <v>270114158359</v>
      </c>
      <c r="X118" t="str">
        <f t="shared" si="24"/>
        <v>219.93.33.173</v>
      </c>
    </row>
    <row r="119" spans="1:24">
      <c r="A119" t="s">
        <v>142</v>
      </c>
      <c r="B119" t="str">
        <f>"27/01/2014 10:52:18"</f>
        <v>27/01/2014 10:52:18</v>
      </c>
      <c r="C119" t="str">
        <f>"40278"</f>
        <v>40278</v>
      </c>
      <c r="D119" t="str">
        <f>"shimiemimie"</f>
        <v>shimiemimie</v>
      </c>
      <c r="E119" t="str">
        <f>"NORSHARIMIE BINTI HASIM"</f>
        <v>NORSHARIMIE BINTI HASIM</v>
      </c>
      <c r="F119" t="str">
        <f>"011103003265"</f>
        <v>011103003265</v>
      </c>
      <c r="G119" t="str">
        <f>"164726067067"</f>
        <v>164726067067</v>
      </c>
      <c r="H119" t="str">
        <f t="shared" si="26"/>
        <v>MYR</v>
      </c>
      <c r="I119" t="str">
        <f t="shared" si="26"/>
        <v>MYR</v>
      </c>
      <c r="J119" t="str">
        <f>"2012-05-11"</f>
        <v>2012-05-11</v>
      </c>
      <c r="K119" t="str">
        <f>"230.00"</f>
        <v>230.00</v>
      </c>
      <c r="L119" t="str">
        <f>"230.00"</f>
        <v>230.00</v>
      </c>
      <c r="M119" t="str">
        <f>"291073"</f>
        <v>291073</v>
      </c>
      <c r="N119" t="str">
        <f>"NORSHARIMIE BINTI HA"</f>
        <v>NORSHARIMIE BINTI HA</v>
      </c>
      <c r="O119" t="str">
        <f>"MAYBANK"</f>
        <v>MAYBANK</v>
      </c>
      <c r="P119" t="str">
        <f>"MBBEMYKL"</f>
        <v>MBBEMYKL</v>
      </c>
      <c r="Q119" t="str">
        <f>"291073"</f>
        <v>291073</v>
      </c>
      <c r="R119" t="str">
        <f>"norsharimie@coshare.my"</f>
        <v>norsharimie@coshare.my</v>
      </c>
      <c r="S119" t="str">
        <f>"iPAY to NORSHARIMIE BINTI HA (MAYBANK: 164726067067) (Ref No: 270114158361)"</f>
        <v>iPAY to NORSHARIMIE BINTI HA (MAYBANK: 164726067067) (Ref No: 270114158361)</v>
      </c>
      <c r="T119" t="str">
        <f t="shared" si="16"/>
        <v>2014-01-27</v>
      </c>
      <c r="U119" t="s">
        <v>32</v>
      </c>
      <c r="V119" t="str">
        <f t="shared" si="27"/>
        <v>Successful</v>
      </c>
      <c r="W119" t="str">
        <f>"270114158361"</f>
        <v>270114158361</v>
      </c>
      <c r="X119" t="str">
        <f>"175.143.45.219"</f>
        <v>175.143.45.219</v>
      </c>
    </row>
    <row r="120" spans="1:24">
      <c r="A120" t="s">
        <v>143</v>
      </c>
      <c r="B120" t="str">
        <f>"27/01/2014 10:53:13"</f>
        <v>27/01/2014 10:53:13</v>
      </c>
      <c r="C120" t="str">
        <f>"1338"</f>
        <v>1338</v>
      </c>
      <c r="D120" t="str">
        <f>"SwimChap73"</f>
        <v>SwimChap73</v>
      </c>
      <c r="E120" t="str">
        <f>"ABDUL HARIS BIN ABDUL HALIM"</f>
        <v>ABDUL HARIS BIN ABDUL HALIM</v>
      </c>
      <c r="F120" t="str">
        <f>"001102006197"</f>
        <v>001102006197</v>
      </c>
      <c r="G120" t="str">
        <f>"164557078189"</f>
        <v>164557078189</v>
      </c>
      <c r="H120" t="str">
        <f t="shared" si="26"/>
        <v>MYR</v>
      </c>
      <c r="I120" t="str">
        <f t="shared" si="26"/>
        <v>MYR</v>
      </c>
      <c r="J120" t="str">
        <f>"2008-01-14"</f>
        <v>2008-01-14</v>
      </c>
      <c r="K120" t="str">
        <f>"2000.00"</f>
        <v>2000.00</v>
      </c>
      <c r="L120" t="str">
        <f>"2000.00"</f>
        <v>2000.00</v>
      </c>
      <c r="M120" t="str">
        <f>"Pay Car Installment"</f>
        <v>Pay Car Installment</v>
      </c>
      <c r="N120" t="str">
        <f>"ABDUL HARIS BIN ABDU"</f>
        <v>ABDUL HARIS BIN ABDU</v>
      </c>
      <c r="O120" t="str">
        <f>"MAYBANK"</f>
        <v>MAYBANK</v>
      </c>
      <c r="P120" t="str">
        <f>"MBBEMYKL"</f>
        <v>MBBEMYKL</v>
      </c>
      <c r="Q120" t="str">
        <f>"0123956959"</f>
        <v>0123956959</v>
      </c>
      <c r="R120" t="str">
        <f>"haris.halim73@gmail.com"</f>
        <v>haris.halim73@gmail.com</v>
      </c>
      <c r="S120" t="str">
        <f>"iPAY to ABDUL HARIS BIN ABDU (MAYBANK: 164557078189) (Ref No: 270114158373)"</f>
        <v>iPAY to ABDUL HARIS BIN ABDU (MAYBANK: 164557078189) (Ref No: 270114158373)</v>
      </c>
      <c r="T120" t="str">
        <f t="shared" si="16"/>
        <v>2014-01-27</v>
      </c>
      <c r="U120" t="s">
        <v>32</v>
      </c>
      <c r="V120" t="str">
        <f t="shared" si="27"/>
        <v>Successful</v>
      </c>
      <c r="W120" t="str">
        <f>"270114158373"</f>
        <v>270114158373</v>
      </c>
      <c r="X120" t="str">
        <f t="shared" ref="X120:X164" si="28">"219.93.33.173"</f>
        <v>219.93.33.173</v>
      </c>
    </row>
    <row r="121" spans="1:24">
      <c r="A121" t="s">
        <v>144</v>
      </c>
      <c r="B121" t="str">
        <f>"27/01/2014 10:54:28"</f>
        <v>27/01/2014 10:54:28</v>
      </c>
      <c r="C121" t="str">
        <f>"53532"</f>
        <v>53532</v>
      </c>
      <c r="D121" t="str">
        <f>"makyen"</f>
        <v>makyen</v>
      </c>
      <c r="E121" t="str">
        <f>"YENNYLIZA BINTI MASO'OD"</f>
        <v>YENNYLIZA BINTI MASO'OD</v>
      </c>
      <c r="F121" t="str">
        <f>"001102038684"</f>
        <v>001102038684</v>
      </c>
      <c r="G121" t="str">
        <f>"164687043003"</f>
        <v>164687043003</v>
      </c>
      <c r="H121" t="str">
        <f t="shared" si="26"/>
        <v>MYR</v>
      </c>
      <c r="I121" t="str">
        <f t="shared" si="26"/>
        <v>MYR</v>
      </c>
      <c r="J121" t="str">
        <f>"NIL"</f>
        <v>NIL</v>
      </c>
      <c r="K121" t="str">
        <f>"400.00"</f>
        <v>400.00</v>
      </c>
      <c r="L121" t="str">
        <f>"400.00"</f>
        <v>400.00</v>
      </c>
      <c r="M121" t="str">
        <f>"ASB Rafa"</f>
        <v>ASB Rafa</v>
      </c>
      <c r="N121" t="str">
        <f>"NUR RAFAIZNI BINTI M"</f>
        <v>NUR RAFAIZNI BINTI M</v>
      </c>
      <c r="O121" t="str">
        <f>"MAYBANK"</f>
        <v>MAYBANK</v>
      </c>
      <c r="P121" t="str">
        <f>"MBBEMYKL"</f>
        <v>MBBEMYKL</v>
      </c>
      <c r="Q121" t="str">
        <f>"ASB Rafa"</f>
        <v>ASB Rafa</v>
      </c>
      <c r="R121" t="str">
        <f>"yennyliza@gmail.com"</f>
        <v>yennyliza@gmail.com</v>
      </c>
      <c r="S121" t="str">
        <f>"iPAY to NUR RAFAIZNI BINTI M (MAYBANK: 164687043003)"</f>
        <v>iPAY to NUR RAFAIZNI BINTI M (MAYBANK: 164687043003)</v>
      </c>
      <c r="T121" t="str">
        <f t="shared" si="16"/>
        <v>2014-01-27</v>
      </c>
      <c r="U121" t="s">
        <v>34</v>
      </c>
      <c r="V121" t="str">
        <f>"System error"</f>
        <v>System error</v>
      </c>
      <c r="W121" t="str">
        <f>"NIL"</f>
        <v>NIL</v>
      </c>
      <c r="X121" t="str">
        <f t="shared" si="28"/>
        <v>219.93.33.173</v>
      </c>
    </row>
    <row r="122" spans="1:24">
      <c r="A122" t="s">
        <v>145</v>
      </c>
      <c r="B122" t="str">
        <f>"27/01/2014 10:57:06"</f>
        <v>27/01/2014 10:57:06</v>
      </c>
      <c r="C122" t="str">
        <f>"186"</f>
        <v>186</v>
      </c>
      <c r="D122" t="str">
        <f>"asuhaimi_11"</f>
        <v>asuhaimi_11</v>
      </c>
      <c r="E122" t="str">
        <f>"AHMAD SUHAIMI BIN YAHYA"</f>
        <v>AHMAD SUHAIMI BIN YAHYA</v>
      </c>
      <c r="F122" t="str">
        <f>"011020000962"</f>
        <v>011020000962</v>
      </c>
      <c r="G122" t="str">
        <f>"164324004757"</f>
        <v>164324004757</v>
      </c>
      <c r="H122" t="str">
        <f t="shared" si="26"/>
        <v>MYR</v>
      </c>
      <c r="I122" t="str">
        <f t="shared" si="26"/>
        <v>MYR</v>
      </c>
      <c r="J122" t="str">
        <f>"2005-08-05"</f>
        <v>2005-08-05</v>
      </c>
      <c r="K122" t="str">
        <f>"5000.00"</f>
        <v>5000.00</v>
      </c>
      <c r="L122" t="str">
        <f>"5000.00"</f>
        <v>5000.00</v>
      </c>
      <c r="M122" t="str">
        <f>"asy bills"</f>
        <v>asy bills</v>
      </c>
      <c r="N122" t="str">
        <f>"AHMAD SUHAIMI YAHYA"</f>
        <v>AHMAD SUHAIMI YAHYA</v>
      </c>
      <c r="O122" t="str">
        <f>"MAYBANK"</f>
        <v>MAYBANK</v>
      </c>
      <c r="P122" t="str">
        <f>"MBBEMYKL"</f>
        <v>MBBEMYKL</v>
      </c>
      <c r="Q122" t="str">
        <f>"asy bills"</f>
        <v>asy bills</v>
      </c>
      <c r="R122" t="str">
        <f>"suhaimi.yahya@kfh.com.my"</f>
        <v>suhaimi.yahya@kfh.com.my</v>
      </c>
      <c r="S122" t="str">
        <f>"iPAY to AHMAD SUHAIMI YAHYA (MAYBANK: 164324004757) (Ref No: 270114158385)"</f>
        <v>iPAY to AHMAD SUHAIMI YAHYA (MAYBANK: 164324004757) (Ref No: 270114158385)</v>
      </c>
      <c r="T122" t="str">
        <f t="shared" si="16"/>
        <v>2014-01-27</v>
      </c>
      <c r="U122" t="s">
        <v>32</v>
      </c>
      <c r="V122" t="str">
        <f>"Successful"</f>
        <v>Successful</v>
      </c>
      <c r="W122" t="str">
        <f>"270114158385"</f>
        <v>270114158385</v>
      </c>
      <c r="X122" t="str">
        <f t="shared" si="28"/>
        <v>219.93.33.173</v>
      </c>
    </row>
    <row r="123" spans="1:24">
      <c r="A123" t="s">
        <v>146</v>
      </c>
      <c r="B123" t="str">
        <f>"27/01/2014 10:57:16"</f>
        <v>27/01/2014 10:57:16</v>
      </c>
      <c r="C123" t="str">
        <f>"22825"</f>
        <v>22825</v>
      </c>
      <c r="D123" t="str">
        <f>"Asma2008"</f>
        <v>Asma2008</v>
      </c>
      <c r="E123" t="str">
        <f>"SUZIASMA BINTI HAMDAN"</f>
        <v>SUZIASMA BINTI HAMDAN</v>
      </c>
      <c r="F123" t="str">
        <f>"003102005658"</f>
        <v>003102005658</v>
      </c>
      <c r="G123" t="str">
        <f>"620190546031"</f>
        <v>620190546031</v>
      </c>
      <c r="H123" t="str">
        <f t="shared" si="26"/>
        <v>MYR</v>
      </c>
      <c r="I123" t="str">
        <f t="shared" si="26"/>
        <v>MYR</v>
      </c>
      <c r="J123" t="str">
        <f>"2011-10-03"</f>
        <v>2011-10-03</v>
      </c>
      <c r="K123" t="str">
        <f>"600.00"</f>
        <v>600.00</v>
      </c>
      <c r="L123" t="str">
        <f>"600.00"</f>
        <v>600.00</v>
      </c>
      <c r="M123" t="str">
        <f>"810820065120"</f>
        <v>810820065120</v>
      </c>
      <c r="N123" t="str">
        <f>"SUZIASMA BINTI HAMDAN"</f>
        <v>SUZIASMA BINTI HAMDAN</v>
      </c>
      <c r="O123" t="str">
        <f>"BANK RAKYAT"</f>
        <v>BANK RAKYAT</v>
      </c>
      <c r="P123" t="str">
        <f>"BKRMMYK1"</f>
        <v>BKRMMYK1</v>
      </c>
      <c r="Q123" t="str">
        <f>"810820065120"</f>
        <v>810820065120</v>
      </c>
      <c r="R123" t="str">
        <f>"suziasma@yahoo.com"</f>
        <v>suziasma@yahoo.com</v>
      </c>
      <c r="S123" t="str">
        <f>"iPAY to SUZIASMA BINTI HAMDAN (BANK RAKYAT: 620190546031) (Ref No: 270114158378)"</f>
        <v>iPAY to SUZIASMA BINTI HAMDAN (BANK RAKYAT: 620190546031) (Ref No: 270114158378)</v>
      </c>
      <c r="T123" t="str">
        <f t="shared" si="16"/>
        <v>2014-01-27</v>
      </c>
      <c r="U123" t="s">
        <v>32</v>
      </c>
      <c r="V123" t="str">
        <f>"Successful"</f>
        <v>Successful</v>
      </c>
      <c r="W123" t="str">
        <f>"270114158378"</f>
        <v>270114158378</v>
      </c>
      <c r="X123" t="str">
        <f t="shared" si="28"/>
        <v>219.93.33.173</v>
      </c>
    </row>
    <row r="124" spans="1:24">
      <c r="A124" t="s">
        <v>147</v>
      </c>
      <c r="B124" t="str">
        <f>"27/01/2014 10:58:28"</f>
        <v>27/01/2014 10:58:28</v>
      </c>
      <c r="C124" t="str">
        <f>"22825"</f>
        <v>22825</v>
      </c>
      <c r="D124" t="str">
        <f>"Asma2008"</f>
        <v>Asma2008</v>
      </c>
      <c r="E124" t="str">
        <f>"SUZIASMA BINTI HAMDAN"</f>
        <v>SUZIASMA BINTI HAMDAN</v>
      </c>
      <c r="F124" t="str">
        <f>"003102005658"</f>
        <v>003102005658</v>
      </c>
      <c r="G124" t="str">
        <f>"11806600010057"</f>
        <v>11806600010057</v>
      </c>
      <c r="H124" t="str">
        <f t="shared" si="26"/>
        <v>MYR</v>
      </c>
      <c r="I124" t="str">
        <f t="shared" si="26"/>
        <v>MYR</v>
      </c>
      <c r="J124" t="str">
        <f>"2011-10-03"</f>
        <v>2011-10-03</v>
      </c>
      <c r="K124" t="str">
        <f>"122.30"</f>
        <v>122.30</v>
      </c>
      <c r="L124" t="str">
        <f>"122.30"</f>
        <v>122.30</v>
      </c>
      <c r="M124" t="str">
        <f>"810820065120"</f>
        <v>810820065120</v>
      </c>
      <c r="N124" t="str">
        <f>"SUZIASMA BINT"</f>
        <v>SUZIASMA BINT</v>
      </c>
      <c r="O124" t="str">
        <f>"RHB BANK"</f>
        <v>RHB BANK</v>
      </c>
      <c r="P124" t="str">
        <f>"RHBBMYKL"</f>
        <v>RHBBMYKL</v>
      </c>
      <c r="Q124" t="str">
        <f>"810820065120"</f>
        <v>810820065120</v>
      </c>
      <c r="R124" t="str">
        <f>"suziasma@yahoo.com"</f>
        <v>suziasma@yahoo.com</v>
      </c>
      <c r="S124" t="str">
        <f>"iPAY to SUZIASMA BINT (RHB BANK: 11806600010057) (Ref No: 270114158381)"</f>
        <v>iPAY to SUZIASMA BINT (RHB BANK: 11806600010057) (Ref No: 270114158381)</v>
      </c>
      <c r="T124" t="str">
        <f t="shared" si="16"/>
        <v>2014-01-27</v>
      </c>
      <c r="U124" t="s">
        <v>32</v>
      </c>
      <c r="V124" t="str">
        <f>"Successful"</f>
        <v>Successful</v>
      </c>
      <c r="W124" t="str">
        <f>"270114158381"</f>
        <v>270114158381</v>
      </c>
      <c r="X124" t="str">
        <f t="shared" si="28"/>
        <v>219.93.33.173</v>
      </c>
    </row>
    <row r="125" spans="1:24">
      <c r="A125" t="s">
        <v>148</v>
      </c>
      <c r="B125" t="str">
        <f>"27/01/2014 11:00:17"</f>
        <v>27/01/2014 11:00:17</v>
      </c>
      <c r="C125" t="str">
        <f>"53532"</f>
        <v>53532</v>
      </c>
      <c r="D125" t="str">
        <f>"makyen"</f>
        <v>makyen</v>
      </c>
      <c r="E125" t="str">
        <f>"YENNYLIZA BINTI MASO'OD"</f>
        <v>YENNYLIZA BINTI MASO'OD</v>
      </c>
      <c r="F125" t="str">
        <f>"001102038684"</f>
        <v>001102038684</v>
      </c>
      <c r="G125" t="str">
        <f>"164687043003"</f>
        <v>164687043003</v>
      </c>
      <c r="H125" t="str">
        <f t="shared" si="26"/>
        <v>MYR</v>
      </c>
      <c r="I125" t="str">
        <f t="shared" si="26"/>
        <v>MYR</v>
      </c>
      <c r="J125" t="str">
        <f>"2013-01-09"</f>
        <v>2013-01-09</v>
      </c>
      <c r="K125" t="str">
        <f>"400.00"</f>
        <v>400.00</v>
      </c>
      <c r="L125" t="str">
        <f>"400.00"</f>
        <v>400.00</v>
      </c>
      <c r="M125" t="str">
        <f>"ASBRafa"</f>
        <v>ASBRafa</v>
      </c>
      <c r="N125" t="str">
        <f>"NUR RAFAIZNI BINTI M"</f>
        <v>NUR RAFAIZNI BINTI M</v>
      </c>
      <c r="O125" t="str">
        <f>"MAYBANK"</f>
        <v>MAYBANK</v>
      </c>
      <c r="P125" t="str">
        <f>"MBBEMYKL"</f>
        <v>MBBEMYKL</v>
      </c>
      <c r="Q125" t="str">
        <f>"ASBRafa"</f>
        <v>ASBRafa</v>
      </c>
      <c r="R125" t="str">
        <f>"yennyliza@gmail.com"</f>
        <v>yennyliza@gmail.com</v>
      </c>
      <c r="S125" t="str">
        <f>"iPAY to NUR RAFAIZNI BINTI M (MAYBANK: 164687043003) (Ref No: 270114158393)"</f>
        <v>iPAY to NUR RAFAIZNI BINTI M (MAYBANK: 164687043003) (Ref No: 270114158393)</v>
      </c>
      <c r="T125" t="str">
        <f t="shared" si="16"/>
        <v>2014-01-27</v>
      </c>
      <c r="U125" t="s">
        <v>32</v>
      </c>
      <c r="V125" t="str">
        <f>"Successful"</f>
        <v>Successful</v>
      </c>
      <c r="W125" t="str">
        <f>"270114158393"</f>
        <v>270114158393</v>
      </c>
      <c r="X125" t="str">
        <f t="shared" si="28"/>
        <v>219.93.33.173</v>
      </c>
    </row>
    <row r="126" spans="1:24">
      <c r="A126" t="s">
        <v>149</v>
      </c>
      <c r="B126" t="str">
        <f>"27/01/2014 11:01:16"</f>
        <v>27/01/2014 11:01:16</v>
      </c>
      <c r="C126" t="str">
        <f>"771"</f>
        <v>771</v>
      </c>
      <c r="D126" t="str">
        <f>"Jennifer8"</f>
        <v>Jennifer8</v>
      </c>
      <c r="E126" t="str">
        <f>"NUR SALIHIN BINTI ABDULLAH @ JENNIFER NG"</f>
        <v>NUR SALIHIN BINTI ABDULLAH @ JENNIFER NG</v>
      </c>
      <c r="F126" t="str">
        <f>"011020004240"</f>
        <v>011020004240</v>
      </c>
      <c r="G126" t="str">
        <f>"14250008785201"</f>
        <v>14250008785201</v>
      </c>
      <c r="H126" t="str">
        <f t="shared" si="26"/>
        <v>MYR</v>
      </c>
      <c r="I126" t="str">
        <f t="shared" si="26"/>
        <v>MYR</v>
      </c>
      <c r="J126" t="str">
        <f>"NIL"</f>
        <v>NIL</v>
      </c>
      <c r="K126" t="str">
        <f>"2500.00"</f>
        <v>2500.00</v>
      </c>
      <c r="L126" t="str">
        <f>"2500.00"</f>
        <v>2500.00</v>
      </c>
      <c r="M126" t="str">
        <f>"NIL"</f>
        <v>NIL</v>
      </c>
      <c r="N126" t="str">
        <f>"NUR SALIHIN B"</f>
        <v>NUR SALIHIN B</v>
      </c>
      <c r="O126" t="str">
        <f>"CIMB BANK"</f>
        <v>CIMB BANK</v>
      </c>
      <c r="P126" t="str">
        <f>"CIBBMYKL"</f>
        <v>CIBBMYKL</v>
      </c>
      <c r="Q126" t="str">
        <f t="shared" ref="Q126:Q131" si="29">"NIL"</f>
        <v>NIL</v>
      </c>
      <c r="R126" t="str">
        <f>"jennifer.abdullah@kfh.com.my"</f>
        <v>jennifer.abdullah@kfh.com.my</v>
      </c>
      <c r="S126" t="str">
        <f>"iPAY to NUR SALIHIN B (CIMB BANK: 14250008785201)"</f>
        <v>iPAY to NUR SALIHIN B (CIMB BANK: 14250008785201)</v>
      </c>
      <c r="T126" t="str">
        <f t="shared" si="16"/>
        <v>2014-01-27</v>
      </c>
      <c r="U126" t="s">
        <v>34</v>
      </c>
      <c r="V126" t="str">
        <f>"System error"</f>
        <v>System error</v>
      </c>
      <c r="W126" t="str">
        <f>"NIL"</f>
        <v>NIL</v>
      </c>
      <c r="X126" t="str">
        <f t="shared" si="28"/>
        <v>219.93.33.173</v>
      </c>
    </row>
    <row r="127" spans="1:24">
      <c r="A127" t="s">
        <v>150</v>
      </c>
      <c r="B127" t="str">
        <f>"27/01/2014 11:02:13"</f>
        <v>27/01/2014 11:02:13</v>
      </c>
      <c r="C127" t="str">
        <f>"771"</f>
        <v>771</v>
      </c>
      <c r="D127" t="str">
        <f>"Jennifer8"</f>
        <v>Jennifer8</v>
      </c>
      <c r="E127" t="str">
        <f>"NUR SALIHIN BINTI ABDULLAH @ JENNIFER NG"</f>
        <v>NUR SALIHIN BINTI ABDULLAH @ JENNIFER NG</v>
      </c>
      <c r="F127" t="str">
        <f>"011020004240"</f>
        <v>011020004240</v>
      </c>
      <c r="G127" t="str">
        <f>"00100263644"</f>
        <v>00100263644</v>
      </c>
      <c r="H127" t="str">
        <f t="shared" si="26"/>
        <v>MYR</v>
      </c>
      <c r="I127" t="str">
        <f t="shared" si="26"/>
        <v>MYR</v>
      </c>
      <c r="J127" t="str">
        <f>"NIL"</f>
        <v>NIL</v>
      </c>
      <c r="K127" t="str">
        <f>"2500.00"</f>
        <v>2500.00</v>
      </c>
      <c r="L127" t="str">
        <f>"2500.00"</f>
        <v>2500.00</v>
      </c>
      <c r="M127" t="str">
        <f>"NIL"</f>
        <v>NIL</v>
      </c>
      <c r="N127" t="str">
        <f>"NUR SALIHIN BINTI AB"</f>
        <v>NUR SALIHIN BINTI AB</v>
      </c>
      <c r="O127" t="str">
        <f>"HONG LEONG BANK"</f>
        <v>HONG LEONG BANK</v>
      </c>
      <c r="P127" t="str">
        <f>"HLBBMYKL"</f>
        <v>HLBBMYKL</v>
      </c>
      <c r="Q127" t="str">
        <f t="shared" si="29"/>
        <v>NIL</v>
      </c>
      <c r="R127" t="str">
        <f>"jennifer.abdullah@kfh.com.my"</f>
        <v>jennifer.abdullah@kfh.com.my</v>
      </c>
      <c r="S127" t="str">
        <f>"iPAY to NUR SALIHIN BINTI AB (HONG LEONG BANK: 00100263644)"</f>
        <v>iPAY to NUR SALIHIN BINTI AB (HONG LEONG BANK: 00100263644)</v>
      </c>
      <c r="T127" t="str">
        <f t="shared" si="16"/>
        <v>2014-01-27</v>
      </c>
      <c r="U127" t="s">
        <v>34</v>
      </c>
      <c r="V127" t="str">
        <f>"Transaction rejected"</f>
        <v>Transaction rejected</v>
      </c>
      <c r="W127" t="str">
        <f>"NIL"</f>
        <v>NIL</v>
      </c>
      <c r="X127" t="str">
        <f t="shared" si="28"/>
        <v>219.93.33.173</v>
      </c>
    </row>
    <row r="128" spans="1:24">
      <c r="A128" t="s">
        <v>151</v>
      </c>
      <c r="B128" t="str">
        <f>"27/01/2014 11:04:57"</f>
        <v>27/01/2014 11:04:57</v>
      </c>
      <c r="C128" t="str">
        <f>"10287"</f>
        <v>10287</v>
      </c>
      <c r="D128" t="str">
        <f>"Mohdlan"</f>
        <v>Mohdlan</v>
      </c>
      <c r="E128" t="str">
        <f>"MOHD LAN BIN MUSLIM"</f>
        <v>MOHD LAN BIN MUSLIM</v>
      </c>
      <c r="F128" t="str">
        <f>"009105000192"</f>
        <v>009105000192</v>
      </c>
      <c r="G128" t="str">
        <f>"10020071727523"</f>
        <v>10020071727523</v>
      </c>
      <c r="H128" t="str">
        <f t="shared" si="26"/>
        <v>MYR</v>
      </c>
      <c r="I128" t="str">
        <f t="shared" si="26"/>
        <v>MYR</v>
      </c>
      <c r="J128" t="str">
        <f>"NIL"</f>
        <v>NIL</v>
      </c>
      <c r="K128" t="str">
        <f>"800.00"</f>
        <v>800.00</v>
      </c>
      <c r="L128" t="str">
        <f>"800.00"</f>
        <v>800.00</v>
      </c>
      <c r="M128" t="str">
        <f>"NIL"</f>
        <v>NIL</v>
      </c>
      <c r="N128" t="str">
        <f>"MOHD LAN BIN"</f>
        <v>MOHD LAN BIN</v>
      </c>
      <c r="O128" t="str">
        <f>"CIMB BANK"</f>
        <v>CIMB BANK</v>
      </c>
      <c r="P128" t="str">
        <f>"CIBBMYKL"</f>
        <v>CIBBMYKL</v>
      </c>
      <c r="Q128" t="str">
        <f t="shared" si="29"/>
        <v>NIL</v>
      </c>
      <c r="R128" t="str">
        <f>"mohdlan.muslim@kfh.com.my"</f>
        <v>mohdlan.muslim@kfh.com.my</v>
      </c>
      <c r="S128" t="str">
        <f>"iPAY to MOHD LAN BIN (CIMB BANK: 10020071727523)"</f>
        <v>iPAY to MOHD LAN BIN (CIMB BANK: 10020071727523)</v>
      </c>
      <c r="T128" t="str">
        <f t="shared" si="16"/>
        <v>2014-01-27</v>
      </c>
      <c r="U128" t="s">
        <v>34</v>
      </c>
      <c r="V128" t="str">
        <f>"System error"</f>
        <v>System error</v>
      </c>
      <c r="W128" t="str">
        <f>"NIL"</f>
        <v>NIL</v>
      </c>
      <c r="X128" t="str">
        <f t="shared" si="28"/>
        <v>219.93.33.173</v>
      </c>
    </row>
    <row r="129" spans="1:24">
      <c r="A129" t="s">
        <v>152</v>
      </c>
      <c r="B129" t="str">
        <f>"27/01/2014 11:06:27"</f>
        <v>27/01/2014 11:06:27</v>
      </c>
      <c r="C129" t="str">
        <f>"45914"</f>
        <v>45914</v>
      </c>
      <c r="D129" t="str">
        <f>"feezaly"</f>
        <v>feezaly</v>
      </c>
      <c r="E129" t="str">
        <f>"NORAFIZA ANI BINTI ABDULLAH"</f>
        <v>NORAFIZA ANI BINTI ABDULLAH</v>
      </c>
      <c r="F129" t="str">
        <f>"005102011651"</f>
        <v>005102011651</v>
      </c>
      <c r="G129" t="str">
        <f>"5412880003038755"</f>
        <v>5412880003038755</v>
      </c>
      <c r="H129" t="str">
        <f t="shared" si="26"/>
        <v>MYR</v>
      </c>
      <c r="I129" t="str">
        <f t="shared" si="26"/>
        <v>MYR</v>
      </c>
      <c r="J129" t="str">
        <f>"2012-09-05"</f>
        <v>2012-09-05</v>
      </c>
      <c r="K129" t="str">
        <f>"100.00"</f>
        <v>100.00</v>
      </c>
      <c r="L129" t="str">
        <f>"100.00"</f>
        <v>100.00</v>
      </c>
      <c r="M129" t="str">
        <f>"hsbc cc"</f>
        <v>hsbc cc</v>
      </c>
      <c r="N129" t="str">
        <f>"NORAFIZA ANI ABDULLAH"</f>
        <v>NORAFIZA ANI ABDULLAH</v>
      </c>
      <c r="O129" t="str">
        <f>"HSBC BANK / HSBC AMANAH"</f>
        <v>HSBC BANK / HSBC AMANAH</v>
      </c>
      <c r="P129" t="str">
        <f>"HBMBMYKL"</f>
        <v>HBMBMYKL</v>
      </c>
      <c r="Q129" t="str">
        <f t="shared" si="29"/>
        <v>NIL</v>
      </c>
      <c r="R129" t="str">
        <f>"feezaly@yahoo.com.my"</f>
        <v>feezaly@yahoo.com.my</v>
      </c>
      <c r="S129" t="str">
        <f>"iPAY to NORAFIZA ANI ABDULLAH (HSBC BANK / HSBC AMANAH: 5412880003038755) (Ref No: 270114158403)"</f>
        <v>iPAY to NORAFIZA ANI ABDULLAH (HSBC BANK / HSBC AMANAH: 5412880003038755) (Ref No: 270114158403)</v>
      </c>
      <c r="T129" t="str">
        <f t="shared" si="16"/>
        <v>2014-01-27</v>
      </c>
      <c r="U129" t="s">
        <v>32</v>
      </c>
      <c r="V129" t="str">
        <f>"Successful"</f>
        <v>Successful</v>
      </c>
      <c r="W129" t="str">
        <f>"270114158403"</f>
        <v>270114158403</v>
      </c>
      <c r="X129" t="str">
        <f t="shared" si="28"/>
        <v>219.93.33.173</v>
      </c>
    </row>
    <row r="130" spans="1:24">
      <c r="A130" t="s">
        <v>153</v>
      </c>
      <c r="B130" t="str">
        <f>"27/01/2014 11:06:35"</f>
        <v>27/01/2014 11:06:35</v>
      </c>
      <c r="C130" t="str">
        <f>"22758"</f>
        <v>22758</v>
      </c>
      <c r="D130" t="str">
        <f>"MAISARAG"</f>
        <v>MAISARAG</v>
      </c>
      <c r="E130" t="str">
        <f>"HANIZAH BINTI MOHD TAIB"</f>
        <v>HANIZAH BINTI MOHD TAIB</v>
      </c>
      <c r="F130" t="str">
        <f>"006102005939"</f>
        <v>006102005939</v>
      </c>
      <c r="G130" t="str">
        <f>"530002458111"</f>
        <v>530002458111</v>
      </c>
      <c r="H130" t="str">
        <f t="shared" ref="H130:I149" si="30">"MYR"</f>
        <v>MYR</v>
      </c>
      <c r="I130" t="str">
        <f t="shared" si="30"/>
        <v>MYR</v>
      </c>
      <c r="J130" t="str">
        <f>"2011-10-03"</f>
        <v>2011-10-03</v>
      </c>
      <c r="K130" t="str">
        <f>"1075.00"</f>
        <v>1075.00</v>
      </c>
      <c r="L130" t="str">
        <f>"1075.00"</f>
        <v>1075.00</v>
      </c>
      <c r="M130" t="str">
        <f>"NIL"</f>
        <v>NIL</v>
      </c>
      <c r="N130" t="str">
        <f>"HANIZAH BINTI MOHD T"</f>
        <v>HANIZAH BINTI MOHD T</v>
      </c>
      <c r="O130" t="str">
        <f>"CIMB BANK"</f>
        <v>CIMB BANK</v>
      </c>
      <c r="P130" t="str">
        <f>"CIBBMYKL"</f>
        <v>CIBBMYKL</v>
      </c>
      <c r="Q130" t="str">
        <f t="shared" si="29"/>
        <v>NIL</v>
      </c>
      <c r="R130" t="str">
        <f>"NIL"</f>
        <v>NIL</v>
      </c>
      <c r="S130" t="str">
        <f>"iPAY to HANIZAH BINTI MOHD T (CIMB BANK: 530002458111) (Ref No: 270114158404)"</f>
        <v>iPAY to HANIZAH BINTI MOHD T (CIMB BANK: 530002458111) (Ref No: 270114158404)</v>
      </c>
      <c r="T130" t="str">
        <f t="shared" si="16"/>
        <v>2014-01-27</v>
      </c>
      <c r="U130" t="s">
        <v>32</v>
      </c>
      <c r="V130" t="str">
        <f>"Successful"</f>
        <v>Successful</v>
      </c>
      <c r="W130" t="str">
        <f>"270114158404"</f>
        <v>270114158404</v>
      </c>
      <c r="X130" t="str">
        <f t="shared" si="28"/>
        <v>219.93.33.173</v>
      </c>
    </row>
    <row r="131" spans="1:24">
      <c r="A131" t="s">
        <v>154</v>
      </c>
      <c r="B131" t="str">
        <f>"27/01/2014 11:06:52"</f>
        <v>27/01/2014 11:06:52</v>
      </c>
      <c r="C131" t="str">
        <f>"3391"</f>
        <v>3391</v>
      </c>
      <c r="D131" t="str">
        <f>"malar_raul"</f>
        <v>malar_raul</v>
      </c>
      <c r="E131" t="str">
        <f>"MALARVILI A/P MUNIANDY"</f>
        <v>MALARVILI A/P MUNIANDY</v>
      </c>
      <c r="F131" t="str">
        <f>"001102011840"</f>
        <v>001102011840</v>
      </c>
      <c r="G131" t="str">
        <f>"114013168737"</f>
        <v>114013168737</v>
      </c>
      <c r="H131" t="str">
        <f t="shared" si="30"/>
        <v>MYR</v>
      </c>
      <c r="I131" t="str">
        <f t="shared" si="30"/>
        <v>MYR</v>
      </c>
      <c r="J131" t="str">
        <f>"2009-01-22"</f>
        <v>2009-01-22</v>
      </c>
      <c r="K131" t="str">
        <f>"2000.00"</f>
        <v>2000.00</v>
      </c>
      <c r="L131" t="str">
        <f>"2000.00"</f>
        <v>2000.00</v>
      </c>
      <c r="M131" t="str">
        <f>"MBB"</f>
        <v>MBB</v>
      </c>
      <c r="N131" t="str">
        <f>"MALARVILI A/P MUNIAN"</f>
        <v>MALARVILI A/P MUNIAN</v>
      </c>
      <c r="O131" t="str">
        <f>"MAYBANK"</f>
        <v>MAYBANK</v>
      </c>
      <c r="P131" t="str">
        <f>"MBBEMYKL"</f>
        <v>MBBEMYKL</v>
      </c>
      <c r="Q131" t="str">
        <f t="shared" si="29"/>
        <v>NIL</v>
      </c>
      <c r="R131" t="str">
        <f>"malar.vili@yahoo.com"</f>
        <v>malar.vili@yahoo.com</v>
      </c>
      <c r="S131" t="str">
        <f>"iPAY to MALARVILI A/P MUNIAN (MAYBANK: 114013168737) (Ref No: 270114158397)"</f>
        <v>iPAY to MALARVILI A/P MUNIAN (MAYBANK: 114013168737) (Ref No: 270114158397)</v>
      </c>
      <c r="T131" t="str">
        <f t="shared" si="16"/>
        <v>2014-01-27</v>
      </c>
      <c r="U131" t="s">
        <v>32</v>
      </c>
      <c r="V131" t="str">
        <f>"Successful"</f>
        <v>Successful</v>
      </c>
      <c r="W131" t="str">
        <f>"270114158397"</f>
        <v>270114158397</v>
      </c>
      <c r="X131" t="str">
        <f t="shared" si="28"/>
        <v>219.93.33.173</v>
      </c>
    </row>
    <row r="132" spans="1:24">
      <c r="A132" t="s">
        <v>155</v>
      </c>
      <c r="B132" t="str">
        <f>"27/01/2014 11:07:08"</f>
        <v>27/01/2014 11:07:08</v>
      </c>
      <c r="C132" t="str">
        <f>"12739"</f>
        <v>12739</v>
      </c>
      <c r="D132" t="str">
        <f>"alex0701"</f>
        <v>alex0701</v>
      </c>
      <c r="E132" t="str">
        <f>"CHOO HOCK WAI"</f>
        <v>CHOO HOCK WAI</v>
      </c>
      <c r="F132" t="str">
        <f>"001102027275"</f>
        <v>001102027275</v>
      </c>
      <c r="G132" t="str">
        <f>"108020379274"</f>
        <v>108020379274</v>
      </c>
      <c r="H132" t="str">
        <f t="shared" si="30"/>
        <v>MYR</v>
      </c>
      <c r="I132" t="str">
        <f t="shared" si="30"/>
        <v>MYR</v>
      </c>
      <c r="J132" t="str">
        <f>"NIL"</f>
        <v>NIL</v>
      </c>
      <c r="K132" t="str">
        <f>"500.00"</f>
        <v>500.00</v>
      </c>
      <c r="L132" t="str">
        <f>"500.00"</f>
        <v>500.00</v>
      </c>
      <c r="M132" t="str">
        <f>"CNY parents 2014"</f>
        <v>CNY parents 2014</v>
      </c>
      <c r="N132" t="str">
        <f>"CHOY CHONG HOE"</f>
        <v>CHOY CHONG HOE</v>
      </c>
      <c r="O132" t="str">
        <f>"MAYBANK"</f>
        <v>MAYBANK</v>
      </c>
      <c r="P132" t="str">
        <f>"MBBEMYKL"</f>
        <v>MBBEMYKL</v>
      </c>
      <c r="Q132" t="str">
        <f>"270114"</f>
        <v>270114</v>
      </c>
      <c r="R132" t="str">
        <f>"hockwai_choo@yahoo.com.sg"</f>
        <v>hockwai_choo@yahoo.com.sg</v>
      </c>
      <c r="S132" t="str">
        <f>"iPAY to CHOY CHONG HOE (MAYBANK: 108020379274)"</f>
        <v>iPAY to CHOY CHONG HOE (MAYBANK: 108020379274)</v>
      </c>
      <c r="T132" t="str">
        <f t="shared" si="16"/>
        <v>2014-01-27</v>
      </c>
      <c r="U132" t="s">
        <v>34</v>
      </c>
      <c r="V132" t="str">
        <f>"System error"</f>
        <v>System error</v>
      </c>
      <c r="W132" t="str">
        <f>"NIL"</f>
        <v>NIL</v>
      </c>
      <c r="X132" t="str">
        <f t="shared" si="28"/>
        <v>219.93.33.173</v>
      </c>
    </row>
    <row r="133" spans="1:24">
      <c r="A133" t="s">
        <v>156</v>
      </c>
      <c r="B133" t="str">
        <f>"27/01/2014 11:07:31"</f>
        <v>27/01/2014 11:07:31</v>
      </c>
      <c r="C133" t="str">
        <f>"3391"</f>
        <v>3391</v>
      </c>
      <c r="D133" t="str">
        <f>"malar_raul"</f>
        <v>malar_raul</v>
      </c>
      <c r="E133" t="str">
        <f>"MALARVILI A/P MUNIANDY"</f>
        <v>MALARVILI A/P MUNIANDY</v>
      </c>
      <c r="F133" t="str">
        <f>"001102011840"</f>
        <v>001102011840</v>
      </c>
      <c r="G133" t="str">
        <f>"2110020057225"</f>
        <v>2110020057225</v>
      </c>
      <c r="H133" t="str">
        <f t="shared" si="30"/>
        <v>MYR</v>
      </c>
      <c r="I133" t="str">
        <f t="shared" si="30"/>
        <v>MYR</v>
      </c>
      <c r="J133" t="str">
        <f>"NIL"</f>
        <v>NIL</v>
      </c>
      <c r="K133" t="str">
        <f>"1500.00"</f>
        <v>1500.00</v>
      </c>
      <c r="L133" t="str">
        <f>"1500.00"</f>
        <v>1500.00</v>
      </c>
      <c r="M133" t="str">
        <f>"Ambnk"</f>
        <v>Ambnk</v>
      </c>
      <c r="N133" t="str">
        <f>"MADAM MALARVILI A/P MUNIAN"</f>
        <v>MADAM MALARVILI A/P MUNIAN</v>
      </c>
      <c r="O133" t="str">
        <f>"AMBANK"</f>
        <v>AMBANK</v>
      </c>
      <c r="P133" t="str">
        <f>"ARBKMYKL"</f>
        <v>ARBKMYKL</v>
      </c>
      <c r="Q133" t="str">
        <f>"Jan 2014"</f>
        <v>Jan 2014</v>
      </c>
      <c r="R133" t="str">
        <f>"malar.vili@yahoo.com"</f>
        <v>malar.vili@yahoo.com</v>
      </c>
      <c r="S133" t="str">
        <f>"iPAY to MADAM MALARVILI A/P MUNIAN (AMBANK: 2110020057225)"</f>
        <v>iPAY to MADAM MALARVILI A/P MUNIAN (AMBANK: 2110020057225)</v>
      </c>
      <c r="T133" t="str">
        <f t="shared" si="16"/>
        <v>2014-01-27</v>
      </c>
      <c r="U133" t="s">
        <v>34</v>
      </c>
      <c r="V133" t="str">
        <f>"System error"</f>
        <v>System error</v>
      </c>
      <c r="W133" t="str">
        <f>"NIL"</f>
        <v>NIL</v>
      </c>
      <c r="X133" t="str">
        <f t="shared" si="28"/>
        <v>219.93.33.173</v>
      </c>
    </row>
    <row r="134" spans="1:24">
      <c r="A134" t="s">
        <v>157</v>
      </c>
      <c r="B134" t="str">
        <f>"27/01/2014 11:09:30"</f>
        <v>27/01/2014 11:09:30</v>
      </c>
      <c r="C134" t="str">
        <f>"5776"</f>
        <v>5776</v>
      </c>
      <c r="D134" t="str">
        <f>"azeera2020"</f>
        <v>azeera2020</v>
      </c>
      <c r="E134" t="str">
        <f>"NOR AZMAN BIN ISMAIL"</f>
        <v>NOR AZMAN BIN ISMAIL</v>
      </c>
      <c r="F134" t="str">
        <f>"003103001373"</f>
        <v>003103001373</v>
      </c>
      <c r="G134" t="str">
        <f>"114486004648"</f>
        <v>114486004648</v>
      </c>
      <c r="H134" t="str">
        <f t="shared" si="30"/>
        <v>MYR</v>
      </c>
      <c r="I134" t="str">
        <f t="shared" si="30"/>
        <v>MYR</v>
      </c>
      <c r="J134" t="str">
        <f>"2009-12-24"</f>
        <v>2009-12-24</v>
      </c>
      <c r="K134" t="str">
        <f>"508.00"</f>
        <v>508.00</v>
      </c>
      <c r="L134" t="str">
        <f>"508.00"</f>
        <v>508.00</v>
      </c>
      <c r="M134" t="str">
        <f>"NIL"</f>
        <v>NIL</v>
      </c>
      <c r="N134" t="str">
        <f>"NOR AZMAN BIN ISMAIL"</f>
        <v>NOR AZMAN BIN ISMAIL</v>
      </c>
      <c r="O134" t="str">
        <f>"MAYBANK"</f>
        <v>MAYBANK</v>
      </c>
      <c r="P134" t="str">
        <f>"MBBEMYKL"</f>
        <v>MBBEMYKL</v>
      </c>
      <c r="Q134" t="str">
        <f>"NIL"</f>
        <v>NIL</v>
      </c>
      <c r="R134" t="str">
        <f>"NIL"</f>
        <v>NIL</v>
      </c>
      <c r="S134" t="str">
        <f>"iPAY to NOR AZMAN BIN ISMAIL (MAYBANK: 114486004648) (Ref No: 270114158409)"</f>
        <v>iPAY to NOR AZMAN BIN ISMAIL (MAYBANK: 114486004648) (Ref No: 270114158409)</v>
      </c>
      <c r="T134" t="str">
        <f t="shared" si="16"/>
        <v>2014-01-27</v>
      </c>
      <c r="U134" t="s">
        <v>32</v>
      </c>
      <c r="V134" t="str">
        <f t="shared" ref="V134:V139" si="31">"Successful"</f>
        <v>Successful</v>
      </c>
      <c r="W134" t="str">
        <f>"270114158409"</f>
        <v>270114158409</v>
      </c>
      <c r="X134" t="str">
        <f t="shared" si="28"/>
        <v>219.93.33.173</v>
      </c>
    </row>
    <row r="135" spans="1:24">
      <c r="A135" t="s">
        <v>158</v>
      </c>
      <c r="B135" t="str">
        <f>"27/01/2014 11:10:25"</f>
        <v>27/01/2014 11:10:25</v>
      </c>
      <c r="C135" t="str">
        <f>"3391"</f>
        <v>3391</v>
      </c>
      <c r="D135" t="str">
        <f>"malar_raul"</f>
        <v>malar_raul</v>
      </c>
      <c r="E135" t="str">
        <f>"MALARVILI A/P MUNIANDY"</f>
        <v>MALARVILI A/P MUNIANDY</v>
      </c>
      <c r="F135" t="str">
        <f>"001102011840"</f>
        <v>001102011840</v>
      </c>
      <c r="G135" t="str">
        <f>"114013168737"</f>
        <v>114013168737</v>
      </c>
      <c r="H135" t="str">
        <f t="shared" si="30"/>
        <v>MYR</v>
      </c>
      <c r="I135" t="str">
        <f t="shared" si="30"/>
        <v>MYR</v>
      </c>
      <c r="J135" t="str">
        <f>"2009-01-22"</f>
        <v>2009-01-22</v>
      </c>
      <c r="K135" t="str">
        <f>"1500.00"</f>
        <v>1500.00</v>
      </c>
      <c r="L135" t="str">
        <f>"1500.00"</f>
        <v>1500.00</v>
      </c>
      <c r="M135" t="str">
        <f>"ambank"</f>
        <v>ambank</v>
      </c>
      <c r="N135" t="str">
        <f>"MALARVILI A/P MUNIAN"</f>
        <v>MALARVILI A/P MUNIAN</v>
      </c>
      <c r="O135" t="str">
        <f>"MAYBANK"</f>
        <v>MAYBANK</v>
      </c>
      <c r="P135" t="str">
        <f>"MBBEMYKL"</f>
        <v>MBBEMYKL</v>
      </c>
      <c r="Q135" t="str">
        <f>"re"</f>
        <v>re</v>
      </c>
      <c r="R135" t="str">
        <f>"malar.vili@yahoo.com"</f>
        <v>malar.vili@yahoo.com</v>
      </c>
      <c r="S135" t="str">
        <f>"iPAY to MALARVILI A/P MUNIAN (MAYBANK: 114013168737) (Ref No: 270114158407)"</f>
        <v>iPAY to MALARVILI A/P MUNIAN (MAYBANK: 114013168737) (Ref No: 270114158407)</v>
      </c>
      <c r="T135" t="str">
        <f t="shared" si="16"/>
        <v>2014-01-27</v>
      </c>
      <c r="U135" t="s">
        <v>32</v>
      </c>
      <c r="V135" t="str">
        <f t="shared" si="31"/>
        <v>Successful</v>
      </c>
      <c r="W135" t="str">
        <f>"270114158407"</f>
        <v>270114158407</v>
      </c>
      <c r="X135" t="str">
        <f t="shared" si="28"/>
        <v>219.93.33.173</v>
      </c>
    </row>
    <row r="136" spans="1:24">
      <c r="A136" t="s">
        <v>159</v>
      </c>
      <c r="B136" t="str">
        <f>"27/01/2014 11:10:36"</f>
        <v>27/01/2014 11:10:36</v>
      </c>
      <c r="C136" t="str">
        <f>"7475"</f>
        <v>7475</v>
      </c>
      <c r="D136" t="str">
        <f>"linakhalindo2311"</f>
        <v>linakhalindo2311</v>
      </c>
      <c r="E136" t="str">
        <f>"LINA KHALINDO BINTI MARINDO"</f>
        <v>LINA KHALINDO BINTI MARINDO</v>
      </c>
      <c r="F136" t="str">
        <f>"007102003350"</f>
        <v>007102003350</v>
      </c>
      <c r="G136" t="str">
        <f>"11015021098528"</f>
        <v>11015021098528</v>
      </c>
      <c r="H136" t="str">
        <f t="shared" si="30"/>
        <v>MYR</v>
      </c>
      <c r="I136" t="str">
        <f t="shared" si="30"/>
        <v>MYR</v>
      </c>
      <c r="J136" t="str">
        <f>"2010-09-23"</f>
        <v>2010-09-23</v>
      </c>
      <c r="K136" t="str">
        <f>"1.00"</f>
        <v>1.00</v>
      </c>
      <c r="L136" t="str">
        <f>"1.00"</f>
        <v>1.00</v>
      </c>
      <c r="M136" t="str">
        <f>"NIL"</f>
        <v>NIL</v>
      </c>
      <c r="N136" t="str">
        <f>"LINA KHALINDO"</f>
        <v>LINA KHALINDO</v>
      </c>
      <c r="O136" t="str">
        <f>"CIMB BANK"</f>
        <v>CIMB BANK</v>
      </c>
      <c r="P136" t="str">
        <f>"CIBBMYKL"</f>
        <v>CIBBMYKL</v>
      </c>
      <c r="Q136" t="str">
        <f>"NIL"</f>
        <v>NIL</v>
      </c>
      <c r="R136" t="str">
        <f>"linakhalindo@gmail.com"</f>
        <v>linakhalindo@gmail.com</v>
      </c>
      <c r="S136" t="str">
        <f>"iPAY to LINA KHALINDO (CIMB BANK: 11015021098528) (Ref No: 270114158413)"</f>
        <v>iPAY to LINA KHALINDO (CIMB BANK: 11015021098528) (Ref No: 270114158413)</v>
      </c>
      <c r="T136" t="str">
        <f t="shared" si="16"/>
        <v>2014-01-27</v>
      </c>
      <c r="U136" t="s">
        <v>32</v>
      </c>
      <c r="V136" t="str">
        <f t="shared" si="31"/>
        <v>Successful</v>
      </c>
      <c r="W136" t="str">
        <f>"270114158413"</f>
        <v>270114158413</v>
      </c>
      <c r="X136" t="str">
        <f t="shared" si="28"/>
        <v>219.93.33.173</v>
      </c>
    </row>
    <row r="137" spans="1:24">
      <c r="A137" t="s">
        <v>160</v>
      </c>
      <c r="B137" t="str">
        <f>"27/01/2014 11:13:02"</f>
        <v>27/01/2014 11:13:02</v>
      </c>
      <c r="C137" t="str">
        <f>"329"</f>
        <v>329</v>
      </c>
      <c r="D137" t="str">
        <f>"hasrinabdulrahim"</f>
        <v>hasrinabdulrahim</v>
      </c>
      <c r="E137" t="str">
        <f>"HASRIN BIN HJ ABDUL RAHIM"</f>
        <v>HASRIN BIN HJ ABDUL RAHIM</v>
      </c>
      <c r="F137" t="str">
        <f>"011020002086"</f>
        <v>011020002086</v>
      </c>
      <c r="G137" t="str">
        <f>"114320023477"</f>
        <v>114320023477</v>
      </c>
      <c r="H137" t="str">
        <f t="shared" si="30"/>
        <v>MYR</v>
      </c>
      <c r="I137" t="str">
        <f t="shared" si="30"/>
        <v>MYR</v>
      </c>
      <c r="J137" t="str">
        <f>"2005-12-22"</f>
        <v>2005-12-22</v>
      </c>
      <c r="K137" t="str">
        <f>"550.00"</f>
        <v>550.00</v>
      </c>
      <c r="L137" t="str">
        <f>"550.00"</f>
        <v>550.00</v>
      </c>
      <c r="M137" t="str">
        <f>"jan 14"</f>
        <v>jan 14</v>
      </c>
      <c r="N137" t="str">
        <f>"HASRIN BIN HJ ABDUL"</f>
        <v>HASRIN BIN HJ ABDUL</v>
      </c>
      <c r="O137" t="str">
        <f>"MAYBANK"</f>
        <v>MAYBANK</v>
      </c>
      <c r="P137" t="str">
        <f>"MBBEMYKL"</f>
        <v>MBBEMYKL</v>
      </c>
      <c r="Q137" t="str">
        <f>"NIL"</f>
        <v>NIL</v>
      </c>
      <c r="R137" t="str">
        <f>"hasrin@kfh.com.my"</f>
        <v>hasrin@kfh.com.my</v>
      </c>
      <c r="S137" t="str">
        <f>"iPAY to HASRIN BIN HJ ABDUL (MAYBANK: 114320023477) (Ref No: 270114158420)"</f>
        <v>iPAY to HASRIN BIN HJ ABDUL (MAYBANK: 114320023477) (Ref No: 270114158420)</v>
      </c>
      <c r="T137" t="str">
        <f t="shared" si="16"/>
        <v>2014-01-27</v>
      </c>
      <c r="U137" t="s">
        <v>32</v>
      </c>
      <c r="V137" t="str">
        <f t="shared" si="31"/>
        <v>Successful</v>
      </c>
      <c r="W137" t="str">
        <f>"270114158420"</f>
        <v>270114158420</v>
      </c>
      <c r="X137" t="str">
        <f t="shared" si="28"/>
        <v>219.93.33.173</v>
      </c>
    </row>
    <row r="138" spans="1:24">
      <c r="A138" t="s">
        <v>161</v>
      </c>
      <c r="B138" t="str">
        <f>"27/01/2014 11:15:00"</f>
        <v>27/01/2014 11:15:00</v>
      </c>
      <c r="C138" t="str">
        <f>"10330"</f>
        <v>10330</v>
      </c>
      <c r="D138" t="str">
        <f>"azizkamal86"</f>
        <v>azizkamal86</v>
      </c>
      <c r="E138" t="str">
        <f>"AHMAD 'AZZIZUDDIN BIN AHMAD KAMAL"</f>
        <v>AHMAD 'AZZIZUDDIN BIN AHMAD KAMAL</v>
      </c>
      <c r="F138" t="str">
        <f>"001102024691"</f>
        <v>001102024691</v>
      </c>
      <c r="G138" t="str">
        <f>"12080001325200"</f>
        <v>12080001325200</v>
      </c>
      <c r="H138" t="str">
        <f t="shared" si="30"/>
        <v>MYR</v>
      </c>
      <c r="I138" t="str">
        <f t="shared" si="30"/>
        <v>MYR</v>
      </c>
      <c r="J138" t="str">
        <f>"2011-04-04"</f>
        <v>2011-04-04</v>
      </c>
      <c r="K138" t="str">
        <f>"2100.00"</f>
        <v>2100.00</v>
      </c>
      <c r="L138" t="str">
        <f>"2100.00"</f>
        <v>2100.00</v>
      </c>
      <c r="M138" t="str">
        <f>"NIL"</f>
        <v>NIL</v>
      </c>
      <c r="N138" t="str">
        <f>"AHMAD 'AZZIZU"</f>
        <v>AHMAD 'AZZIZU</v>
      </c>
      <c r="O138" t="str">
        <f>"CIMB BANK"</f>
        <v>CIMB BANK</v>
      </c>
      <c r="P138" t="str">
        <f>"CIBBMYKL"</f>
        <v>CIBBMYKL</v>
      </c>
      <c r="Q138" t="str">
        <f>"NIL"</f>
        <v>NIL</v>
      </c>
      <c r="R138" t="str">
        <f>"NIL"</f>
        <v>NIL</v>
      </c>
      <c r="S138" t="str">
        <f>"iPAY to AHMAD 'AZZIZU (CIMB BANK: 12080001325200) (Ref No: 270114158415)"</f>
        <v>iPAY to AHMAD 'AZZIZU (CIMB BANK: 12080001325200) (Ref No: 270114158415)</v>
      </c>
      <c r="T138" t="str">
        <f t="shared" ref="T138:T201" si="32">"2014-01-27"</f>
        <v>2014-01-27</v>
      </c>
      <c r="U138" t="s">
        <v>32</v>
      </c>
      <c r="V138" t="str">
        <f t="shared" si="31"/>
        <v>Successful</v>
      </c>
      <c r="W138" t="str">
        <f>"270114158415"</f>
        <v>270114158415</v>
      </c>
      <c r="X138" t="str">
        <f t="shared" si="28"/>
        <v>219.93.33.173</v>
      </c>
    </row>
    <row r="139" spans="1:24">
      <c r="A139" t="s">
        <v>162</v>
      </c>
      <c r="B139" t="str">
        <f>"27/01/2014 11:15:25"</f>
        <v>27/01/2014 11:15:25</v>
      </c>
      <c r="C139" t="str">
        <f>"1573"</f>
        <v>1573</v>
      </c>
      <c r="D139" t="str">
        <f>"wildcat1"</f>
        <v>wildcat1</v>
      </c>
      <c r="E139" t="str">
        <f>"ALINA BINTI MOHAMAD"</f>
        <v>ALINA BINTI MOHAMAD</v>
      </c>
      <c r="F139" t="str">
        <f>"004102000100"</f>
        <v>004102000100</v>
      </c>
      <c r="G139" t="str">
        <f>"01310001289520"</f>
        <v>01310001289520</v>
      </c>
      <c r="H139" t="str">
        <f t="shared" si="30"/>
        <v>MYR</v>
      </c>
      <c r="I139" t="str">
        <f t="shared" si="30"/>
        <v>MYR</v>
      </c>
      <c r="J139" t="str">
        <f>"2008-04-14"</f>
        <v>2008-04-14</v>
      </c>
      <c r="K139" t="str">
        <f>"250.00"</f>
        <v>250.00</v>
      </c>
      <c r="L139" t="str">
        <f>"250.00"</f>
        <v>250.00</v>
      </c>
      <c r="M139" t="str">
        <f>"NIL"</f>
        <v>NIL</v>
      </c>
      <c r="N139" t="str">
        <f>"ALINA MOHAMAD"</f>
        <v>ALINA MOHAMAD</v>
      </c>
      <c r="O139" t="str">
        <f>"CIMB BANK"</f>
        <v>CIMB BANK</v>
      </c>
      <c r="P139" t="str">
        <f>"CIBBMYKL"</f>
        <v>CIBBMYKL</v>
      </c>
      <c r="Q139" t="str">
        <f>"NIL"</f>
        <v>NIL</v>
      </c>
      <c r="R139" t="str">
        <f>"NIL"</f>
        <v>NIL</v>
      </c>
      <c r="S139" t="str">
        <f>"iPAY to ALINA MOHAMAD (CIMB BANK: 01310001289520) (Ref No: 270114158418)"</f>
        <v>iPAY to ALINA MOHAMAD (CIMB BANK: 01310001289520) (Ref No: 270114158418)</v>
      </c>
      <c r="T139" t="str">
        <f t="shared" si="32"/>
        <v>2014-01-27</v>
      </c>
      <c r="U139" t="s">
        <v>32</v>
      </c>
      <c r="V139" t="str">
        <f t="shared" si="31"/>
        <v>Successful</v>
      </c>
      <c r="W139" t="str">
        <f>"270114158418"</f>
        <v>270114158418</v>
      </c>
      <c r="X139" t="str">
        <f t="shared" si="28"/>
        <v>219.93.33.173</v>
      </c>
    </row>
    <row r="140" spans="1:24">
      <c r="A140" t="s">
        <v>163</v>
      </c>
      <c r="B140" t="str">
        <f>"27/01/2014 11:15:29"</f>
        <v>27/01/2014 11:15:29</v>
      </c>
      <c r="C140" t="str">
        <f>"1338"</f>
        <v>1338</v>
      </c>
      <c r="D140" t="str">
        <f>"SwimChap73"</f>
        <v>SwimChap73</v>
      </c>
      <c r="E140" t="str">
        <f>"ABDUL HARIS BIN ABDUL HALIM"</f>
        <v>ABDUL HARIS BIN ABDUL HALIM</v>
      </c>
      <c r="F140" t="str">
        <f>"001102006197"</f>
        <v>001102006197</v>
      </c>
      <c r="G140" t="str">
        <f>"14014080097389"</f>
        <v>14014080097389</v>
      </c>
      <c r="H140" t="str">
        <f t="shared" si="30"/>
        <v>MYR</v>
      </c>
      <c r="I140" t="str">
        <f t="shared" si="30"/>
        <v>MYR</v>
      </c>
      <c r="J140" t="str">
        <f>"NIL"</f>
        <v>NIL</v>
      </c>
      <c r="K140" t="str">
        <f>"800.00"</f>
        <v>800.00</v>
      </c>
      <c r="L140" t="str">
        <f>"800.00"</f>
        <v>800.00</v>
      </c>
      <c r="M140" t="str">
        <f>"Jan'14"</f>
        <v>Jan'14</v>
      </c>
      <c r="N140" t="str">
        <f>"ABDUL HARIS BIN ABDUL HALI"</f>
        <v>ABDUL HARIS BIN ABDUL HALI</v>
      </c>
      <c r="O140" t="str">
        <f>"BANK ISLAM MALAYSIA BHD"</f>
        <v>BANK ISLAM MALAYSIA BHD</v>
      </c>
      <c r="P140" t="str">
        <f>"BIMBMYKL"</f>
        <v>BIMBMYKL</v>
      </c>
      <c r="Q140" t="str">
        <f>"0123956959"</f>
        <v>0123956959</v>
      </c>
      <c r="R140" t="str">
        <f>"haris.halim73@gmail.com"</f>
        <v>haris.halim73@gmail.com</v>
      </c>
      <c r="S140" t="str">
        <f>"iPAY to ABDUL HARIS BIN ABDUL HALI (BANK ISLAM MALAYSIA BHD: 14014080097389)"</f>
        <v>iPAY to ABDUL HARIS BIN ABDUL HALI (BANK ISLAM MALAYSIA BHD: 14014080097389)</v>
      </c>
      <c r="T140" t="str">
        <f t="shared" si="32"/>
        <v>2014-01-27</v>
      </c>
      <c r="U140" t="s">
        <v>34</v>
      </c>
      <c r="V140" t="str">
        <f>"System error"</f>
        <v>System error</v>
      </c>
      <c r="W140" t="str">
        <f>"NIL"</f>
        <v>NIL</v>
      </c>
      <c r="X140" t="str">
        <f t="shared" si="28"/>
        <v>219.93.33.173</v>
      </c>
    </row>
    <row r="141" spans="1:24">
      <c r="A141" t="s">
        <v>164</v>
      </c>
      <c r="B141" t="str">
        <f>"27/01/2014 11:16:37"</f>
        <v>27/01/2014 11:16:37</v>
      </c>
      <c r="C141" t="str">
        <f>"3391"</f>
        <v>3391</v>
      </c>
      <c r="D141" t="str">
        <f>"malar_raul"</f>
        <v>malar_raul</v>
      </c>
      <c r="E141" t="str">
        <f>"MALARVILI A/P MUNIANDY"</f>
        <v>MALARVILI A/P MUNIANDY</v>
      </c>
      <c r="F141" t="str">
        <f>"001102011840"</f>
        <v>001102011840</v>
      </c>
      <c r="G141" t="str">
        <f>"2110020057225"</f>
        <v>2110020057225</v>
      </c>
      <c r="H141" t="str">
        <f t="shared" si="30"/>
        <v>MYR</v>
      </c>
      <c r="I141" t="str">
        <f t="shared" si="30"/>
        <v>MYR</v>
      </c>
      <c r="J141" t="str">
        <f>"2009-01-22"</f>
        <v>2009-01-22</v>
      </c>
      <c r="K141" t="str">
        <f>"1300.00"</f>
        <v>1300.00</v>
      </c>
      <c r="L141" t="str">
        <f>"1300.00"</f>
        <v>1300.00</v>
      </c>
      <c r="M141" t="str">
        <f>"Jan 2014"</f>
        <v>Jan 2014</v>
      </c>
      <c r="N141" t="str">
        <f>"MADAM MALARVILI A/P MUNIAN"</f>
        <v>MADAM MALARVILI A/P MUNIAN</v>
      </c>
      <c r="O141" t="str">
        <f>"AMBANK"</f>
        <v>AMBANK</v>
      </c>
      <c r="P141" t="str">
        <f>"ARBKMYKL"</f>
        <v>ARBKMYKL</v>
      </c>
      <c r="Q141" t="str">
        <f>"Jan 2014"</f>
        <v>Jan 2014</v>
      </c>
      <c r="R141" t="str">
        <f>"malar.vili@yahoo.com"</f>
        <v>malar.vili@yahoo.com</v>
      </c>
      <c r="S141" t="str">
        <f>"iPAY to MADAM MALARVILI A/P MUNIAN (AMBANK: 2110020057225) (Ref No: 270114158422)"</f>
        <v>iPAY to MADAM MALARVILI A/P MUNIAN (AMBANK: 2110020057225) (Ref No: 270114158422)</v>
      </c>
      <c r="T141" t="str">
        <f t="shared" si="32"/>
        <v>2014-01-27</v>
      </c>
      <c r="U141" t="s">
        <v>32</v>
      </c>
      <c r="V141" t="str">
        <f>"Successful"</f>
        <v>Successful</v>
      </c>
      <c r="W141" t="str">
        <f>"270114158422"</f>
        <v>270114158422</v>
      </c>
      <c r="X141" t="str">
        <f t="shared" si="28"/>
        <v>219.93.33.173</v>
      </c>
    </row>
    <row r="142" spans="1:24">
      <c r="A142" t="s">
        <v>165</v>
      </c>
      <c r="B142" t="str">
        <f>"27/01/2014 11:25:47"</f>
        <v>27/01/2014 11:25:47</v>
      </c>
      <c r="C142" t="str">
        <f>"329"</f>
        <v>329</v>
      </c>
      <c r="D142" t="str">
        <f>"hasrinabdulrahim"</f>
        <v>hasrinabdulrahim</v>
      </c>
      <c r="E142" t="str">
        <f>"HASRIN BIN HJ ABDUL RAHIM"</f>
        <v>HASRIN BIN HJ ABDUL RAHIM</v>
      </c>
      <c r="F142" t="str">
        <f>"011020002086"</f>
        <v>011020002086</v>
      </c>
      <c r="G142" t="str">
        <f>"114320023477"</f>
        <v>114320023477</v>
      </c>
      <c r="H142" t="str">
        <f t="shared" si="30"/>
        <v>MYR</v>
      </c>
      <c r="I142" t="str">
        <f t="shared" si="30"/>
        <v>MYR</v>
      </c>
      <c r="J142" t="str">
        <f>"2005-12-22"</f>
        <v>2005-12-22</v>
      </c>
      <c r="K142" t="str">
        <f>"250.00"</f>
        <v>250.00</v>
      </c>
      <c r="L142" t="str">
        <f>"250.00"</f>
        <v>250.00</v>
      </c>
      <c r="M142" t="str">
        <f>"jan 14"</f>
        <v>jan 14</v>
      </c>
      <c r="N142" t="str">
        <f>"HASRIN BIN HJ ABDUL"</f>
        <v>HASRIN BIN HJ ABDUL</v>
      </c>
      <c r="O142" t="str">
        <f>"MAYBANK"</f>
        <v>MAYBANK</v>
      </c>
      <c r="P142" t="str">
        <f>"MBBEMYKL"</f>
        <v>MBBEMYKL</v>
      </c>
      <c r="Q142" t="str">
        <f>"NIL"</f>
        <v>NIL</v>
      </c>
      <c r="R142" t="str">
        <f>"hasrin@kfh.com.my"</f>
        <v>hasrin@kfh.com.my</v>
      </c>
      <c r="S142" t="str">
        <f>"iPAY to HASRIN BIN HJ ABDUL (MAYBANK: 114320023477) (Ref No: 270114158426)"</f>
        <v>iPAY to HASRIN BIN HJ ABDUL (MAYBANK: 114320023477) (Ref No: 270114158426)</v>
      </c>
      <c r="T142" t="str">
        <f t="shared" si="32"/>
        <v>2014-01-27</v>
      </c>
      <c r="U142" t="s">
        <v>32</v>
      </c>
      <c r="V142" t="str">
        <f>"Successful"</f>
        <v>Successful</v>
      </c>
      <c r="W142" t="str">
        <f>"270114158426"</f>
        <v>270114158426</v>
      </c>
      <c r="X142" t="str">
        <f t="shared" si="28"/>
        <v>219.93.33.173</v>
      </c>
    </row>
    <row r="143" spans="1:24">
      <c r="A143" t="s">
        <v>166</v>
      </c>
      <c r="B143" t="str">
        <f>"27/01/2014 11:29:29"</f>
        <v>27/01/2014 11:29:29</v>
      </c>
      <c r="C143" t="str">
        <f>"43233"</f>
        <v>43233</v>
      </c>
      <c r="D143" t="str">
        <f>"jefrieffendi"</f>
        <v>jefrieffendi</v>
      </c>
      <c r="E143" t="str">
        <f>"JEFRI EFFENDI BIN AHMAD SHOHOR AFFANDI"</f>
        <v>JEFRI EFFENDI BIN AHMAD SHOHOR AFFANDI</v>
      </c>
      <c r="F143" t="str">
        <f>"001103018434"</f>
        <v>001103018434</v>
      </c>
      <c r="G143" t="str">
        <f>"164810014944"</f>
        <v>164810014944</v>
      </c>
      <c r="H143" t="str">
        <f t="shared" si="30"/>
        <v>MYR</v>
      </c>
      <c r="I143" t="str">
        <f t="shared" si="30"/>
        <v>MYR</v>
      </c>
      <c r="J143" t="str">
        <f>"2012-07-13"</f>
        <v>2012-07-13</v>
      </c>
      <c r="K143" t="str">
        <f>"110.00"</f>
        <v>110.00</v>
      </c>
      <c r="L143" t="str">
        <f>"110.00"</f>
        <v>110.00</v>
      </c>
      <c r="M143" t="str">
        <f>"catuaba"</f>
        <v>catuaba</v>
      </c>
      <c r="N143" t="str">
        <f>"SUHASRI BIN ISMAIL"</f>
        <v>SUHASRI BIN ISMAIL</v>
      </c>
      <c r="O143" t="str">
        <f>"MAYBANK"</f>
        <v>MAYBANK</v>
      </c>
      <c r="P143" t="str">
        <f>"MBBEMYKL"</f>
        <v>MBBEMYKL</v>
      </c>
      <c r="Q143" t="str">
        <f>"27012014"</f>
        <v>27012014</v>
      </c>
      <c r="R143" t="str">
        <f>"jeffendi@yahoo.com"</f>
        <v>jeffendi@yahoo.com</v>
      </c>
      <c r="S143" t="str">
        <f>"iPAY to SUHASRI BIN ISMAIL (MAYBANK: 164810014944) (Ref No: 270114158431)"</f>
        <v>iPAY to SUHASRI BIN ISMAIL (MAYBANK: 164810014944) (Ref No: 270114158431)</v>
      </c>
      <c r="T143" t="str">
        <f t="shared" si="32"/>
        <v>2014-01-27</v>
      </c>
      <c r="U143" t="s">
        <v>32</v>
      </c>
      <c r="V143" t="str">
        <f>"Successful"</f>
        <v>Successful</v>
      </c>
      <c r="W143" t="str">
        <f>"270114158431"</f>
        <v>270114158431</v>
      </c>
      <c r="X143" t="str">
        <f t="shared" si="28"/>
        <v>219.93.33.173</v>
      </c>
    </row>
    <row r="144" spans="1:24">
      <c r="A144" t="s">
        <v>167</v>
      </c>
      <c r="B144" t="str">
        <f>"27/01/2014 11:30:56"</f>
        <v>27/01/2014 11:30:56</v>
      </c>
      <c r="C144" t="str">
        <f>"16902"</f>
        <v>16902</v>
      </c>
      <c r="D144" t="str">
        <f>"splitxen"</f>
        <v>splitxen</v>
      </c>
      <c r="E144" t="str">
        <f>"MOHD FIKRY BIN MOHD JASHMAN"</f>
        <v>MOHD FIKRY BIN MOHD JASHMAN</v>
      </c>
      <c r="F144" t="str">
        <f>"001103007971"</f>
        <v>001103007971</v>
      </c>
      <c r="G144" t="str">
        <f>"0870020046260"</f>
        <v>0870020046260</v>
      </c>
      <c r="H144" t="str">
        <f t="shared" si="30"/>
        <v>MYR</v>
      </c>
      <c r="I144" t="str">
        <f t="shared" si="30"/>
        <v>MYR</v>
      </c>
      <c r="J144" t="str">
        <f>"NIL"</f>
        <v>NIL</v>
      </c>
      <c r="K144" t="str">
        <f>"1010.00"</f>
        <v>1010.00</v>
      </c>
      <c r="L144" t="str">
        <f>"1010.00"</f>
        <v>1010.00</v>
      </c>
      <c r="M144" t="str">
        <f>"AmBank Bills"</f>
        <v>AmBank Bills</v>
      </c>
      <c r="N144" t="str">
        <f>"MR MOHD FIKRY BIN MOHD JAS"</f>
        <v>MR MOHD FIKRY BIN MOHD JAS</v>
      </c>
      <c r="O144" t="str">
        <f>"AMBANK"</f>
        <v>AMBANK</v>
      </c>
      <c r="P144" t="str">
        <f>"ARBKMYKL"</f>
        <v>ARBKMYKL</v>
      </c>
      <c r="Q144" t="str">
        <f t="shared" ref="Q144:Q162" si="33">"NIL"</f>
        <v>NIL</v>
      </c>
      <c r="R144" t="str">
        <f>"splitxen@hotmail.com"</f>
        <v>splitxen@hotmail.com</v>
      </c>
      <c r="S144" t="str">
        <f>"iPAY to MR MOHD FIKRY BIN MOHD JAS (AMBANK: 0870020046260)"</f>
        <v>iPAY to MR MOHD FIKRY BIN MOHD JAS (AMBANK: 0870020046260)</v>
      </c>
      <c r="T144" t="str">
        <f t="shared" si="32"/>
        <v>2014-01-27</v>
      </c>
      <c r="U144" t="s">
        <v>34</v>
      </c>
      <c r="V144" t="str">
        <f>"System error"</f>
        <v>System error</v>
      </c>
      <c r="W144" t="str">
        <f>"NIL"</f>
        <v>NIL</v>
      </c>
      <c r="X144" t="str">
        <f t="shared" si="28"/>
        <v>219.93.33.173</v>
      </c>
    </row>
    <row r="145" spans="1:24">
      <c r="A145" t="s">
        <v>168</v>
      </c>
      <c r="B145" t="str">
        <f>"27/01/2014 11:31:37"</f>
        <v>27/01/2014 11:31:37</v>
      </c>
      <c r="C145" t="str">
        <f>"16902"</f>
        <v>16902</v>
      </c>
      <c r="D145" t="str">
        <f>"splitxen"</f>
        <v>splitxen</v>
      </c>
      <c r="E145" t="str">
        <f>"MOHD FIKRY BIN MOHD JASHMAN"</f>
        <v>MOHD FIKRY BIN MOHD JASHMAN</v>
      </c>
      <c r="F145" t="str">
        <f>"001103007971"</f>
        <v>001103007971</v>
      </c>
      <c r="G145" t="str">
        <f>"0870020046260"</f>
        <v>0870020046260</v>
      </c>
      <c r="H145" t="str">
        <f t="shared" si="30"/>
        <v>MYR</v>
      </c>
      <c r="I145" t="str">
        <f t="shared" si="30"/>
        <v>MYR</v>
      </c>
      <c r="J145" t="str">
        <f>"2011-08-08"</f>
        <v>2011-08-08</v>
      </c>
      <c r="K145" t="str">
        <f>"1010.00"</f>
        <v>1010.00</v>
      </c>
      <c r="L145" t="str">
        <f>"1010.00"</f>
        <v>1010.00</v>
      </c>
      <c r="M145" t="str">
        <f>"AmBank Bills"</f>
        <v>AmBank Bills</v>
      </c>
      <c r="N145" t="str">
        <f>"MR MOHD FIKRY BIN MOHD JAS"</f>
        <v>MR MOHD FIKRY BIN MOHD JAS</v>
      </c>
      <c r="O145" t="str">
        <f>"AMBANK"</f>
        <v>AMBANK</v>
      </c>
      <c r="P145" t="str">
        <f>"ARBKMYKL"</f>
        <v>ARBKMYKL</v>
      </c>
      <c r="Q145" t="str">
        <f t="shared" si="33"/>
        <v>NIL</v>
      </c>
      <c r="R145" t="str">
        <f>"splitxen@hotmail.com"</f>
        <v>splitxen@hotmail.com</v>
      </c>
      <c r="S145" t="str">
        <f>"iPAY to MR MOHD FIKRY BIN MOHD JAS (AMBANK: 0870020046260) (Ref No: 270114158438)"</f>
        <v>iPAY to MR MOHD FIKRY BIN MOHD JAS (AMBANK: 0870020046260) (Ref No: 270114158438)</v>
      </c>
      <c r="T145" t="str">
        <f t="shared" si="32"/>
        <v>2014-01-27</v>
      </c>
      <c r="U145" t="s">
        <v>32</v>
      </c>
      <c r="V145" t="str">
        <f>"Successful"</f>
        <v>Successful</v>
      </c>
      <c r="W145" t="str">
        <f>"270114158438"</f>
        <v>270114158438</v>
      </c>
      <c r="X145" t="str">
        <f t="shared" si="28"/>
        <v>219.93.33.173</v>
      </c>
    </row>
    <row r="146" spans="1:24">
      <c r="A146" t="s">
        <v>169</v>
      </c>
      <c r="B146" t="str">
        <f>"27/01/2014 11:32:23"</f>
        <v>27/01/2014 11:32:23</v>
      </c>
      <c r="C146" t="str">
        <f>"12272"</f>
        <v>12272</v>
      </c>
      <c r="D146" t="str">
        <f>"yana87"</f>
        <v>yana87</v>
      </c>
      <c r="E146" t="str">
        <f>"SUZIANA BINTI IBRAHIM"</f>
        <v>SUZIANA BINTI IBRAHIM</v>
      </c>
      <c r="F146" t="str">
        <f>"001102026953"</f>
        <v>001102026953</v>
      </c>
      <c r="G146" t="str">
        <f>"03054020404057"</f>
        <v>03054020404057</v>
      </c>
      <c r="H146" t="str">
        <f t="shared" si="30"/>
        <v>MYR</v>
      </c>
      <c r="I146" t="str">
        <f t="shared" si="30"/>
        <v>MYR</v>
      </c>
      <c r="J146" t="str">
        <f>"NIL"</f>
        <v>NIL</v>
      </c>
      <c r="K146" t="str">
        <f>"400.00"</f>
        <v>400.00</v>
      </c>
      <c r="L146" t="str">
        <f>"400.00"</f>
        <v>400.00</v>
      </c>
      <c r="M146" t="str">
        <f>"NIL"</f>
        <v>NIL</v>
      </c>
      <c r="N146" t="str">
        <f>"PUAN MAIMUNAH BINTI AWANG"</f>
        <v>PUAN MAIMUNAH BINTI AWANG</v>
      </c>
      <c r="O146" t="str">
        <f>"BANK ISLAM MALAYSIA BHD"</f>
        <v>BANK ISLAM MALAYSIA BHD</v>
      </c>
      <c r="P146" t="str">
        <f>"BIMBMYKL"</f>
        <v>BIMBMYKL</v>
      </c>
      <c r="Q146" t="str">
        <f t="shared" si="33"/>
        <v>NIL</v>
      </c>
      <c r="R146" t="str">
        <f>"fitnunnisak@yahoo.com"</f>
        <v>fitnunnisak@yahoo.com</v>
      </c>
      <c r="S146" t="str">
        <f>"iPAY to PUAN MAIMUNAH BINTI AWANG (BANK ISLAM MALAYSIA BHD: 03054020404057)"</f>
        <v>iPAY to PUAN MAIMUNAH BINTI AWANG (BANK ISLAM MALAYSIA BHD: 03054020404057)</v>
      </c>
      <c r="T146" t="str">
        <f t="shared" si="32"/>
        <v>2014-01-27</v>
      </c>
      <c r="U146" t="s">
        <v>34</v>
      </c>
      <c r="V146" t="str">
        <f>"System error"</f>
        <v>System error</v>
      </c>
      <c r="W146" t="str">
        <f>"NIL"</f>
        <v>NIL</v>
      </c>
      <c r="X146" t="str">
        <f t="shared" si="28"/>
        <v>219.93.33.173</v>
      </c>
    </row>
    <row r="147" spans="1:24">
      <c r="A147" t="s">
        <v>170</v>
      </c>
      <c r="B147" t="str">
        <f>"27/01/2014 11:33:15"</f>
        <v>27/01/2014 11:33:15</v>
      </c>
      <c r="C147" t="str">
        <f>"12272"</f>
        <v>12272</v>
      </c>
      <c r="D147" t="str">
        <f>"yana87"</f>
        <v>yana87</v>
      </c>
      <c r="E147" t="str">
        <f>"SUZIANA BINTI IBRAHIM"</f>
        <v>SUZIANA BINTI IBRAHIM</v>
      </c>
      <c r="F147" t="str">
        <f>"001102026953"</f>
        <v>001102026953</v>
      </c>
      <c r="G147" t="str">
        <f>"03054020404057"</f>
        <v>03054020404057</v>
      </c>
      <c r="H147" t="str">
        <f t="shared" si="30"/>
        <v>MYR</v>
      </c>
      <c r="I147" t="str">
        <f t="shared" si="30"/>
        <v>MYR</v>
      </c>
      <c r="J147" t="str">
        <f>"2011-05-31"</f>
        <v>2011-05-31</v>
      </c>
      <c r="K147" t="str">
        <f>"400.00"</f>
        <v>400.00</v>
      </c>
      <c r="L147" t="str">
        <f>"400.00"</f>
        <v>400.00</v>
      </c>
      <c r="M147" t="str">
        <f>"NIL"</f>
        <v>NIL</v>
      </c>
      <c r="N147" t="str">
        <f>"PUAN MAIMUNAH BINTI AWANG"</f>
        <v>PUAN MAIMUNAH BINTI AWANG</v>
      </c>
      <c r="O147" t="str">
        <f>"BANK ISLAM MALAYSIA BHD"</f>
        <v>BANK ISLAM MALAYSIA BHD</v>
      </c>
      <c r="P147" t="str">
        <f>"BIMBMYKL"</f>
        <v>BIMBMYKL</v>
      </c>
      <c r="Q147" t="str">
        <f t="shared" si="33"/>
        <v>NIL</v>
      </c>
      <c r="R147" t="str">
        <f>"fitnunnisak@yahoo.com"</f>
        <v>fitnunnisak@yahoo.com</v>
      </c>
      <c r="S147" t="str">
        <f>"iPAY to PUAN MAIMUNAH BINTI AWANG (BANK ISLAM MALAYSIA BHD: 03054020404057) (Ref No: 270114158434)"</f>
        <v>iPAY to PUAN MAIMUNAH BINTI AWANG (BANK ISLAM MALAYSIA BHD: 03054020404057) (Ref No: 270114158434)</v>
      </c>
      <c r="T147" t="str">
        <f t="shared" si="32"/>
        <v>2014-01-27</v>
      </c>
      <c r="U147" t="s">
        <v>32</v>
      </c>
      <c r="V147" t="str">
        <f>"Successful"</f>
        <v>Successful</v>
      </c>
      <c r="W147" t="str">
        <f>"270114158434"</f>
        <v>270114158434</v>
      </c>
      <c r="X147" t="str">
        <f t="shared" si="28"/>
        <v>219.93.33.173</v>
      </c>
    </row>
    <row r="148" spans="1:24">
      <c r="A148" t="s">
        <v>171</v>
      </c>
      <c r="B148" t="str">
        <f>"27/01/2014 11:34:03"</f>
        <v>27/01/2014 11:34:03</v>
      </c>
      <c r="C148" t="str">
        <f>"16902"</f>
        <v>16902</v>
      </c>
      <c r="D148" t="str">
        <f>"splitxen"</f>
        <v>splitxen</v>
      </c>
      <c r="E148" t="str">
        <f>"MOHD FIKRY BIN MOHD JASHMAN"</f>
        <v>MOHD FIKRY BIN MOHD JASHMAN</v>
      </c>
      <c r="F148" t="str">
        <f>"001103007971"</f>
        <v>001103007971</v>
      </c>
      <c r="G148" t="str">
        <f>"122007101549161"</f>
        <v>122007101549161</v>
      </c>
      <c r="H148" t="str">
        <f t="shared" si="30"/>
        <v>MYR</v>
      </c>
      <c r="I148" t="str">
        <f t="shared" si="30"/>
        <v>MYR</v>
      </c>
      <c r="J148" t="str">
        <f>"NIL"</f>
        <v>NIL</v>
      </c>
      <c r="K148" t="str">
        <f>"50.00"</f>
        <v>50.00</v>
      </c>
      <c r="L148" t="str">
        <f>"50.00"</f>
        <v>50.00</v>
      </c>
      <c r="M148" t="str">
        <f>"Al-Rajhi Savings"</f>
        <v>Al-Rajhi Savings</v>
      </c>
      <c r="N148" t="str">
        <f>"MOHD FIKRY BIN MOHD JASHMA"</f>
        <v>MOHD FIKRY BIN MOHD JASHMA</v>
      </c>
      <c r="O148" t="str">
        <f>"AL-RAJHI BANK"</f>
        <v>AL-RAJHI BANK</v>
      </c>
      <c r="P148" t="str">
        <f>"RJHIMYKL"</f>
        <v>RJHIMYKL</v>
      </c>
      <c r="Q148" t="str">
        <f t="shared" si="33"/>
        <v>NIL</v>
      </c>
      <c r="R148" t="str">
        <f>"splitxen@hotmail.com"</f>
        <v>splitxen@hotmail.com</v>
      </c>
      <c r="S148" t="str">
        <f>"iPAY to MOHD FIKRY BIN MOHD JASHMA (AL-RAJHI BANK: 122007101549161)"</f>
        <v>iPAY to MOHD FIKRY BIN MOHD JASHMA (AL-RAJHI BANK: 122007101549161)</v>
      </c>
      <c r="T148" t="str">
        <f t="shared" si="32"/>
        <v>2014-01-27</v>
      </c>
      <c r="U148" t="s">
        <v>34</v>
      </c>
      <c r="V148" t="str">
        <f>"System error"</f>
        <v>System error</v>
      </c>
      <c r="W148" t="str">
        <f>"NIL"</f>
        <v>NIL</v>
      </c>
      <c r="X148" t="str">
        <f t="shared" si="28"/>
        <v>219.93.33.173</v>
      </c>
    </row>
    <row r="149" spans="1:24">
      <c r="A149" t="s">
        <v>172</v>
      </c>
      <c r="B149" t="str">
        <f>"27/01/2014 11:34:41"</f>
        <v>27/01/2014 11:34:41</v>
      </c>
      <c r="C149" t="str">
        <f>"16902"</f>
        <v>16902</v>
      </c>
      <c r="D149" t="str">
        <f>"splitxen"</f>
        <v>splitxen</v>
      </c>
      <c r="E149" t="str">
        <f>"MOHD FIKRY BIN MOHD JASHMAN"</f>
        <v>MOHD FIKRY BIN MOHD JASHMAN</v>
      </c>
      <c r="F149" t="str">
        <f>"001103007971"</f>
        <v>001103007971</v>
      </c>
      <c r="G149" t="str">
        <f>"122007101549161"</f>
        <v>122007101549161</v>
      </c>
      <c r="H149" t="str">
        <f t="shared" si="30"/>
        <v>MYR</v>
      </c>
      <c r="I149" t="str">
        <f t="shared" si="30"/>
        <v>MYR</v>
      </c>
      <c r="J149" t="str">
        <f>"2011-08-08"</f>
        <v>2011-08-08</v>
      </c>
      <c r="K149" t="str">
        <f>"50.00"</f>
        <v>50.00</v>
      </c>
      <c r="L149" t="str">
        <f>"50.00"</f>
        <v>50.00</v>
      </c>
      <c r="M149" t="str">
        <f>"Al-Rajhi Savings"</f>
        <v>Al-Rajhi Savings</v>
      </c>
      <c r="N149" t="str">
        <f>"MOHD FIKRY BIN MOHD JASHMA"</f>
        <v>MOHD FIKRY BIN MOHD JASHMA</v>
      </c>
      <c r="O149" t="str">
        <f>"AL-RAJHI BANK"</f>
        <v>AL-RAJHI BANK</v>
      </c>
      <c r="P149" t="str">
        <f>"RJHIMYKL"</f>
        <v>RJHIMYKL</v>
      </c>
      <c r="Q149" t="str">
        <f t="shared" si="33"/>
        <v>NIL</v>
      </c>
      <c r="R149" t="str">
        <f>"splitxen@hotmail.com"</f>
        <v>splitxen@hotmail.com</v>
      </c>
      <c r="S149" t="str">
        <f>"iPAY to MOHD FIKRY BIN MOHD JASHMA (AL-RAJHI BANK: 122007101549161) (Ref No: 270114158446)"</f>
        <v>iPAY to MOHD FIKRY BIN MOHD JASHMA (AL-RAJHI BANK: 122007101549161) (Ref No: 270114158446)</v>
      </c>
      <c r="T149" t="str">
        <f t="shared" si="32"/>
        <v>2014-01-27</v>
      </c>
      <c r="U149" t="s">
        <v>32</v>
      </c>
      <c r="V149" t="str">
        <f>"Successful"</f>
        <v>Successful</v>
      </c>
      <c r="W149" t="str">
        <f>"270114158446"</f>
        <v>270114158446</v>
      </c>
      <c r="X149" t="str">
        <f t="shared" si="28"/>
        <v>219.93.33.173</v>
      </c>
    </row>
    <row r="150" spans="1:24">
      <c r="A150" t="s">
        <v>173</v>
      </c>
      <c r="B150" t="str">
        <f>"27/01/2014 11:35:22"</f>
        <v>27/01/2014 11:35:22</v>
      </c>
      <c r="C150" t="str">
        <f>"8923"</f>
        <v>8923</v>
      </c>
      <c r="D150" t="str">
        <f>"sharizan"</f>
        <v>sharizan</v>
      </c>
      <c r="E150" t="str">
        <f>"SHARIZAN BINTI IBRAHIM"</f>
        <v>SHARIZAN BINTI IBRAHIM</v>
      </c>
      <c r="F150" t="str">
        <f>"008103000015"</f>
        <v>008103000015</v>
      </c>
      <c r="G150" t="str">
        <f>"0301041000119278"</f>
        <v>0301041000119278</v>
      </c>
      <c r="H150" t="str">
        <f t="shared" ref="H150:I169" si="34">"MYR"</f>
        <v>MYR</v>
      </c>
      <c r="I150" t="str">
        <f t="shared" si="34"/>
        <v>MYR</v>
      </c>
      <c r="J150" t="str">
        <f>"NIL"</f>
        <v>NIL</v>
      </c>
      <c r="K150" t="str">
        <f>"1100.00"</f>
        <v>1100.00</v>
      </c>
      <c r="L150" t="str">
        <f>"1100.00"</f>
        <v>1100.00</v>
      </c>
      <c r="M150" t="str">
        <f>"NIL"</f>
        <v>NIL</v>
      </c>
      <c r="N150" t="str">
        <f>"ZAKARIA BIN DAUD"</f>
        <v>ZAKARIA BIN DAUD</v>
      </c>
      <c r="O150" t="str">
        <f>"BANK SIMPANAN NASIONAL"</f>
        <v>BANK SIMPANAN NASIONAL</v>
      </c>
      <c r="P150" t="str">
        <f>"BSNAMYKL"</f>
        <v>BSNAMYKL</v>
      </c>
      <c r="Q150" t="str">
        <f t="shared" si="33"/>
        <v>NIL</v>
      </c>
      <c r="R150" t="str">
        <f>"sharizan.ibrahim@kfh.com.my"</f>
        <v>sharizan.ibrahim@kfh.com.my</v>
      </c>
      <c r="S150" t="str">
        <f>"iPAY to ZAKARIA BIN DAUD (BANK SIMPANAN NASIONAL: 0301041000119278)"</f>
        <v>iPAY to ZAKARIA BIN DAUD (BANK SIMPANAN NASIONAL: 0301041000119278)</v>
      </c>
      <c r="T150" t="str">
        <f t="shared" si="32"/>
        <v>2014-01-27</v>
      </c>
      <c r="U150" t="s">
        <v>34</v>
      </c>
      <c r="V150" t="str">
        <f>"System error"</f>
        <v>System error</v>
      </c>
      <c r="W150" t="str">
        <f>"NIL"</f>
        <v>NIL</v>
      </c>
      <c r="X150" t="str">
        <f t="shared" si="28"/>
        <v>219.93.33.173</v>
      </c>
    </row>
    <row r="151" spans="1:24">
      <c r="A151" t="s">
        <v>174</v>
      </c>
      <c r="B151" t="str">
        <f>"27/01/2014 11:35:54"</f>
        <v>27/01/2014 11:35:54</v>
      </c>
      <c r="C151" t="str">
        <f>"16902"</f>
        <v>16902</v>
      </c>
      <c r="D151" t="str">
        <f>"splitxen"</f>
        <v>splitxen</v>
      </c>
      <c r="E151" t="str">
        <f>"MOHD FIKRY BIN MOHD JASHMAN"</f>
        <v>MOHD FIKRY BIN MOHD JASHMAN</v>
      </c>
      <c r="F151" t="str">
        <f>"001103007971"</f>
        <v>001103007971</v>
      </c>
      <c r="G151" t="str">
        <f>"1410041000215783"</f>
        <v>1410041000215783</v>
      </c>
      <c r="H151" t="str">
        <f t="shared" si="34"/>
        <v>MYR</v>
      </c>
      <c r="I151" t="str">
        <f t="shared" si="34"/>
        <v>MYR</v>
      </c>
      <c r="J151" t="str">
        <f>"2011-08-08"</f>
        <v>2011-08-08</v>
      </c>
      <c r="K151" t="str">
        <f>"710.00"</f>
        <v>710.00</v>
      </c>
      <c r="L151" t="str">
        <f>"710.00"</f>
        <v>710.00</v>
      </c>
      <c r="M151" t="str">
        <f>"BSN Loan"</f>
        <v>BSN Loan</v>
      </c>
      <c r="N151" t="str">
        <f>"MOHD FIKRY BIN MOHD"</f>
        <v>MOHD FIKRY BIN MOHD</v>
      </c>
      <c r="O151" t="str">
        <f>"BANK SIMPANAN NASIONAL"</f>
        <v>BANK SIMPANAN NASIONAL</v>
      </c>
      <c r="P151" t="str">
        <f>"BSNAMYKL"</f>
        <v>BSNAMYKL</v>
      </c>
      <c r="Q151" t="str">
        <f t="shared" si="33"/>
        <v>NIL</v>
      </c>
      <c r="R151" t="str">
        <f>"splitxen@hotmail.com"</f>
        <v>splitxen@hotmail.com</v>
      </c>
      <c r="S151" t="str">
        <f>"iPAY to MOHD FIKRY BIN MOHD (BANK SIMPANAN NASIONAL: 1410041000215783) (Ref No: 270114158455)"</f>
        <v>iPAY to MOHD FIKRY BIN MOHD (BANK SIMPANAN NASIONAL: 1410041000215783) (Ref No: 270114158455)</v>
      </c>
      <c r="T151" t="str">
        <f t="shared" si="32"/>
        <v>2014-01-27</v>
      </c>
      <c r="U151" t="s">
        <v>32</v>
      </c>
      <c r="V151" t="str">
        <f>"Successful"</f>
        <v>Successful</v>
      </c>
      <c r="W151" t="str">
        <f>"270114158455"</f>
        <v>270114158455</v>
      </c>
      <c r="X151" t="str">
        <f t="shared" si="28"/>
        <v>219.93.33.173</v>
      </c>
    </row>
    <row r="152" spans="1:24">
      <c r="A152" t="s">
        <v>175</v>
      </c>
      <c r="B152" t="str">
        <f>"27/01/2014 11:36:20"</f>
        <v>27/01/2014 11:36:20</v>
      </c>
      <c r="C152" t="str">
        <f>"506"</f>
        <v>506</v>
      </c>
      <c r="D152" t="str">
        <f>"ANGPCH"</f>
        <v>ANGPCH</v>
      </c>
      <c r="E152" t="str">
        <f>"ANG PHOON CHEE"</f>
        <v>ANG PHOON CHEE</v>
      </c>
      <c r="F152" t="str">
        <f>"011020002833"</f>
        <v>011020002833</v>
      </c>
      <c r="G152" t="str">
        <f>"11413800400948"</f>
        <v>11413800400948</v>
      </c>
      <c r="H152" t="str">
        <f t="shared" si="34"/>
        <v>MYR</v>
      </c>
      <c r="I152" t="str">
        <f t="shared" si="34"/>
        <v>MYR</v>
      </c>
      <c r="J152" t="str">
        <f>"2006-07-05"</f>
        <v>2006-07-05</v>
      </c>
      <c r="K152" t="str">
        <f>"500.00"</f>
        <v>500.00</v>
      </c>
      <c r="L152" t="str">
        <f>"500.00"</f>
        <v>500.00</v>
      </c>
      <c r="M152" t="str">
        <f>"TRF APC RHB"</f>
        <v>TRF APC RHB</v>
      </c>
      <c r="N152" t="str">
        <f>"ANG PHOON CHE"</f>
        <v>ANG PHOON CHE</v>
      </c>
      <c r="O152" t="str">
        <f>"RHB BANK"</f>
        <v>RHB BANK</v>
      </c>
      <c r="P152" t="str">
        <f>"RHBBMYKL"</f>
        <v>RHBBMYKL</v>
      </c>
      <c r="Q152" t="str">
        <f t="shared" si="33"/>
        <v>NIL</v>
      </c>
      <c r="R152" t="str">
        <f>"phoonchee69@gmail.com"</f>
        <v>phoonchee69@gmail.com</v>
      </c>
      <c r="S152" t="str">
        <f>"iPAY to ANG PHOON CHE (RHB BANK: 11413800400948) (Ref No: 270114158459)"</f>
        <v>iPAY to ANG PHOON CHE (RHB BANK: 11413800400948) (Ref No: 270114158459)</v>
      </c>
      <c r="T152" t="str">
        <f t="shared" si="32"/>
        <v>2014-01-27</v>
      </c>
      <c r="U152" t="s">
        <v>32</v>
      </c>
      <c r="V152" t="str">
        <f>"Successful"</f>
        <v>Successful</v>
      </c>
      <c r="W152" t="str">
        <f>"270114158459"</f>
        <v>270114158459</v>
      </c>
      <c r="X152" t="str">
        <f t="shared" si="28"/>
        <v>219.93.33.173</v>
      </c>
    </row>
    <row r="153" spans="1:24">
      <c r="A153" t="s">
        <v>176</v>
      </c>
      <c r="B153" t="str">
        <f>"27/01/2014 11:36:25"</f>
        <v>27/01/2014 11:36:25</v>
      </c>
      <c r="C153" t="str">
        <f>"27156"</f>
        <v>27156</v>
      </c>
      <c r="D153" t="str">
        <f>"ellealirr23"</f>
        <v>ellealirr23</v>
      </c>
      <c r="E153" t="str">
        <f>"ALIAH BINTI ROSLAN"</f>
        <v>ALIAH BINTI ROSLAN</v>
      </c>
      <c r="F153" t="str">
        <f>"001103013688"</f>
        <v>001103013688</v>
      </c>
      <c r="G153" t="str">
        <f>"220221023631"</f>
        <v>220221023631</v>
      </c>
      <c r="H153" t="str">
        <f t="shared" si="34"/>
        <v>MYR</v>
      </c>
      <c r="I153" t="str">
        <f t="shared" si="34"/>
        <v>MYR</v>
      </c>
      <c r="J153" t="str">
        <f>"NIL"</f>
        <v>NIL</v>
      </c>
      <c r="K153" t="str">
        <f>"132.00"</f>
        <v>132.00</v>
      </c>
      <c r="L153" t="str">
        <f>"132.00"</f>
        <v>132.00</v>
      </c>
      <c r="M153" t="str">
        <f>"Sani Ekspress"</f>
        <v>Sani Ekspress</v>
      </c>
      <c r="N153" t="str">
        <f>"ROHMAH BINTI OSMAN"</f>
        <v>ROHMAH BINTI OSMAN</v>
      </c>
      <c r="O153" t="str">
        <f>"BANK RAKYAT"</f>
        <v>BANK RAKYAT</v>
      </c>
      <c r="P153" t="str">
        <f>"BKRMMYK1"</f>
        <v>BKRMMYK1</v>
      </c>
      <c r="Q153" t="str">
        <f t="shared" si="33"/>
        <v>NIL</v>
      </c>
      <c r="R153" t="str">
        <f>"elle_lia2020@yahoo.co.uk"</f>
        <v>elle_lia2020@yahoo.co.uk</v>
      </c>
      <c r="S153" t="str">
        <f>"iPAY to ROHMAH BINTI OSMAN (BANK RAKYAT: 220221023631)"</f>
        <v>iPAY to ROHMAH BINTI OSMAN (BANK RAKYAT: 220221023631)</v>
      </c>
      <c r="T153" t="str">
        <f t="shared" si="32"/>
        <v>2014-01-27</v>
      </c>
      <c r="U153" t="s">
        <v>34</v>
      </c>
      <c r="V153" t="str">
        <f>"System error"</f>
        <v>System error</v>
      </c>
      <c r="W153" t="str">
        <f>"NIL"</f>
        <v>NIL</v>
      </c>
      <c r="X153" t="str">
        <f t="shared" si="28"/>
        <v>219.93.33.173</v>
      </c>
    </row>
    <row r="154" spans="1:24">
      <c r="A154" t="s">
        <v>177</v>
      </c>
      <c r="B154" t="str">
        <f>"27/01/2014 11:36:50"</f>
        <v>27/01/2014 11:36:50</v>
      </c>
      <c r="C154" t="str">
        <f>"33690"</f>
        <v>33690</v>
      </c>
      <c r="D154" t="str">
        <f>"myiezza83"</f>
        <v>myiezza83</v>
      </c>
      <c r="E154" t="str">
        <f>"HAMIZAH BINTI SAMAN"</f>
        <v>HAMIZAH BINTI SAMAN</v>
      </c>
      <c r="F154" t="str">
        <f>"009103003482"</f>
        <v>009103003482</v>
      </c>
      <c r="G154" t="str">
        <f>"160036865557"</f>
        <v>160036865557</v>
      </c>
      <c r="H154" t="str">
        <f t="shared" si="34"/>
        <v>MYR</v>
      </c>
      <c r="I154" t="str">
        <f t="shared" si="34"/>
        <v>MYR</v>
      </c>
      <c r="J154" t="str">
        <f>"2011-12-23"</f>
        <v>2011-12-23</v>
      </c>
      <c r="K154" t="str">
        <f>"750.00"</f>
        <v>750.00</v>
      </c>
      <c r="L154" t="str">
        <f>"750.00"</f>
        <v>750.00</v>
      </c>
      <c r="M154" t="str">
        <f>"NIL"</f>
        <v>NIL</v>
      </c>
      <c r="N154" t="str">
        <f>"SURYANTI YATINI BINT"</f>
        <v>SURYANTI YATINI BINT</v>
      </c>
      <c r="O154" t="str">
        <f>"MAYBANK"</f>
        <v>MAYBANK</v>
      </c>
      <c r="P154" t="str">
        <f>"MBBEMYKL"</f>
        <v>MBBEMYKL</v>
      </c>
      <c r="Q154" t="str">
        <f t="shared" si="33"/>
        <v>NIL</v>
      </c>
      <c r="R154" t="str">
        <f>"suryantiy.malim@yahoo.com"</f>
        <v>suryantiy.malim@yahoo.com</v>
      </c>
      <c r="S154" t="str">
        <f>"iPAY to SURYANTI YATINI BINT (MAYBANK: 160036865557) (Ref No: 270114158442)"</f>
        <v>iPAY to SURYANTI YATINI BINT (MAYBANK: 160036865557) (Ref No: 270114158442)</v>
      </c>
      <c r="T154" t="str">
        <f t="shared" si="32"/>
        <v>2014-01-27</v>
      </c>
      <c r="U154" t="s">
        <v>32</v>
      </c>
      <c r="V154" t="str">
        <f>"Successful"</f>
        <v>Successful</v>
      </c>
      <c r="W154" t="str">
        <f>"270114158442"</f>
        <v>270114158442</v>
      </c>
      <c r="X154" t="str">
        <f t="shared" si="28"/>
        <v>219.93.33.173</v>
      </c>
    </row>
    <row r="155" spans="1:24">
      <c r="A155" t="s">
        <v>178</v>
      </c>
      <c r="B155" t="str">
        <f>"27/01/2014 11:37:06"</f>
        <v>27/01/2014 11:37:06</v>
      </c>
      <c r="C155" t="str">
        <f>"27156"</f>
        <v>27156</v>
      </c>
      <c r="D155" t="str">
        <f>"ellealirr23"</f>
        <v>ellealirr23</v>
      </c>
      <c r="E155" t="str">
        <f>"ALIAH BINTI ROSLAN"</f>
        <v>ALIAH BINTI ROSLAN</v>
      </c>
      <c r="F155" t="str">
        <f>"001103013688"</f>
        <v>001103013688</v>
      </c>
      <c r="G155" t="str">
        <f>"220021010360"</f>
        <v>220021010360</v>
      </c>
      <c r="H155" t="str">
        <f t="shared" si="34"/>
        <v>MYR</v>
      </c>
      <c r="I155" t="str">
        <f t="shared" si="34"/>
        <v>MYR</v>
      </c>
      <c r="J155" t="str">
        <f>"2011-11-01"</f>
        <v>2011-11-01</v>
      </c>
      <c r="K155" t="str">
        <f>"516.00"</f>
        <v>516.00</v>
      </c>
      <c r="L155" t="str">
        <f>"516.00"</f>
        <v>516.00</v>
      </c>
      <c r="M155" t="str">
        <f>"Brunei Airlines"</f>
        <v>Brunei Airlines</v>
      </c>
      <c r="N155" t="str">
        <f>"ROSLAN BIN MD SOM"</f>
        <v>ROSLAN BIN MD SOM</v>
      </c>
      <c r="O155" t="str">
        <f>"BANK RAKYAT"</f>
        <v>BANK RAKYAT</v>
      </c>
      <c r="P155" t="str">
        <f>"BKRMMYK1"</f>
        <v>BKRMMYK1</v>
      </c>
      <c r="Q155" t="str">
        <f t="shared" si="33"/>
        <v>NIL</v>
      </c>
      <c r="R155" t="str">
        <f>"elle_lia2020@yahoo.co.uk"</f>
        <v>elle_lia2020@yahoo.co.uk</v>
      </c>
      <c r="S155" t="str">
        <f>"iPAY to ROSLAN BIN MD SOM (BANK RAKYAT: 220021010360) (Ref No: 270114158462)"</f>
        <v>iPAY to ROSLAN BIN MD SOM (BANK RAKYAT: 220021010360) (Ref No: 270114158462)</v>
      </c>
      <c r="T155" t="str">
        <f t="shared" si="32"/>
        <v>2014-01-27</v>
      </c>
      <c r="U155" t="s">
        <v>32</v>
      </c>
      <c r="V155" t="str">
        <f>"Successful"</f>
        <v>Successful</v>
      </c>
      <c r="W155" t="str">
        <f>"270114158462"</f>
        <v>270114158462</v>
      </c>
      <c r="X155" t="str">
        <f t="shared" si="28"/>
        <v>219.93.33.173</v>
      </c>
    </row>
    <row r="156" spans="1:24">
      <c r="A156" t="s">
        <v>179</v>
      </c>
      <c r="B156" t="str">
        <f>"27/01/2014 11:37:48"</f>
        <v>27/01/2014 11:37:48</v>
      </c>
      <c r="C156" t="str">
        <f>"27156"</f>
        <v>27156</v>
      </c>
      <c r="D156" t="str">
        <f>"ellealirr23"</f>
        <v>ellealirr23</v>
      </c>
      <c r="E156" t="str">
        <f>"ALIAH BINTI ROSLAN"</f>
        <v>ALIAH BINTI ROSLAN</v>
      </c>
      <c r="F156" t="str">
        <f>"001103013688"</f>
        <v>001103013688</v>
      </c>
      <c r="G156" t="str">
        <f>"220221023631"</f>
        <v>220221023631</v>
      </c>
      <c r="H156" t="str">
        <f t="shared" si="34"/>
        <v>MYR</v>
      </c>
      <c r="I156" t="str">
        <f t="shared" si="34"/>
        <v>MYR</v>
      </c>
      <c r="J156" t="str">
        <f>"NIL"</f>
        <v>NIL</v>
      </c>
      <c r="K156" t="str">
        <f>"132.00"</f>
        <v>132.00</v>
      </c>
      <c r="L156" t="str">
        <f>"132.00"</f>
        <v>132.00</v>
      </c>
      <c r="M156" t="str">
        <f>"Sani Ekspress"</f>
        <v>Sani Ekspress</v>
      </c>
      <c r="N156" t="str">
        <f>"ROHMAH BINTI OSMAN"</f>
        <v>ROHMAH BINTI OSMAN</v>
      </c>
      <c r="O156" t="str">
        <f>"BANK RAKYAT"</f>
        <v>BANK RAKYAT</v>
      </c>
      <c r="P156" t="str">
        <f>"BKRMMYK1"</f>
        <v>BKRMMYK1</v>
      </c>
      <c r="Q156" t="str">
        <f t="shared" si="33"/>
        <v>NIL</v>
      </c>
      <c r="R156" t="str">
        <f>"elle_lia2020@yahoo.co.uk"</f>
        <v>elle_lia2020@yahoo.co.uk</v>
      </c>
      <c r="S156" t="str">
        <f>"iPAY to ROHMAH BINTI OSMAN (BANK RAKYAT: 220221023631)"</f>
        <v>iPAY to ROHMAH BINTI OSMAN (BANK RAKYAT: 220221023631)</v>
      </c>
      <c r="T156" t="str">
        <f t="shared" si="32"/>
        <v>2014-01-27</v>
      </c>
      <c r="U156" t="s">
        <v>34</v>
      </c>
      <c r="V156" t="str">
        <f>"System error"</f>
        <v>System error</v>
      </c>
      <c r="W156" t="str">
        <f>"NIL"</f>
        <v>NIL</v>
      </c>
      <c r="X156" t="str">
        <f t="shared" si="28"/>
        <v>219.93.33.173</v>
      </c>
    </row>
    <row r="157" spans="1:24">
      <c r="A157" t="s">
        <v>180</v>
      </c>
      <c r="B157" t="str">
        <f>"27/01/2014 11:37:50"</f>
        <v>27/01/2014 11:37:50</v>
      </c>
      <c r="C157" t="str">
        <f>"42029"</f>
        <v>42029</v>
      </c>
      <c r="D157" t="str">
        <f>"k_ilyana"</f>
        <v>k_ilyana</v>
      </c>
      <c r="E157" t="str">
        <f>"KHAIRATUL ILYANA BINTI KAMARUDDIN"</f>
        <v>KHAIRATUL ILYANA BINTI KAMARUDDIN</v>
      </c>
      <c r="F157" t="str">
        <f>"001103017969"</f>
        <v>001103017969</v>
      </c>
      <c r="G157" t="str">
        <f>"164221033287"</f>
        <v>164221033287</v>
      </c>
      <c r="H157" t="str">
        <f t="shared" si="34"/>
        <v>MYR</v>
      </c>
      <c r="I157" t="str">
        <f t="shared" si="34"/>
        <v>MYR</v>
      </c>
      <c r="J157" t="str">
        <f>"2012-06-14"</f>
        <v>2012-06-14</v>
      </c>
      <c r="K157" t="str">
        <f>"2000.00"</f>
        <v>2000.00</v>
      </c>
      <c r="L157" t="str">
        <f>"2000.00"</f>
        <v>2000.00</v>
      </c>
      <c r="M157" t="str">
        <f>"NIL"</f>
        <v>NIL</v>
      </c>
      <c r="N157" t="str">
        <f>"KHAIRATUL ILYANA"</f>
        <v>KHAIRATUL ILYANA</v>
      </c>
      <c r="O157" t="str">
        <f>"MAYBANK"</f>
        <v>MAYBANK</v>
      </c>
      <c r="P157" t="str">
        <f>"MBBEMYKL"</f>
        <v>MBBEMYKL</v>
      </c>
      <c r="Q157" t="str">
        <f t="shared" si="33"/>
        <v>NIL</v>
      </c>
      <c r="R157" t="str">
        <f>"khairatul.ilyana@gmail.com"</f>
        <v>khairatul.ilyana@gmail.com</v>
      </c>
      <c r="S157" t="str">
        <f>"iPAY to KHAIRATUL ILYANA (MAYBANK: 164221033287) (Ref No: 270114158448)"</f>
        <v>iPAY to KHAIRATUL ILYANA (MAYBANK: 164221033287) (Ref No: 270114158448)</v>
      </c>
      <c r="T157" t="str">
        <f t="shared" si="32"/>
        <v>2014-01-27</v>
      </c>
      <c r="U157" t="s">
        <v>32</v>
      </c>
      <c r="V157" t="str">
        <f>"Successful"</f>
        <v>Successful</v>
      </c>
      <c r="W157" t="str">
        <f>"270114158448"</f>
        <v>270114158448</v>
      </c>
      <c r="X157" t="str">
        <f t="shared" si="28"/>
        <v>219.93.33.173</v>
      </c>
    </row>
    <row r="158" spans="1:24">
      <c r="A158" t="s">
        <v>181</v>
      </c>
      <c r="B158" t="str">
        <f>"27/01/2014 11:38:10"</f>
        <v>27/01/2014 11:38:10</v>
      </c>
      <c r="C158" t="str">
        <f>"16902"</f>
        <v>16902</v>
      </c>
      <c r="D158" t="str">
        <f>"splitxen"</f>
        <v>splitxen</v>
      </c>
      <c r="E158" t="str">
        <f>"MOHD FIKRY BIN MOHD JASHMAN"</f>
        <v>MOHD FIKRY BIN MOHD JASHMAN</v>
      </c>
      <c r="F158" t="str">
        <f>"001103007971"</f>
        <v>001103007971</v>
      </c>
      <c r="G158" t="str">
        <f>"164780025460"</f>
        <v>164780025460</v>
      </c>
      <c r="H158" t="str">
        <f t="shared" si="34"/>
        <v>MYR</v>
      </c>
      <c r="I158" t="str">
        <f t="shared" si="34"/>
        <v>MYR</v>
      </c>
      <c r="J158" t="str">
        <f>"2011-08-08"</f>
        <v>2011-08-08</v>
      </c>
      <c r="K158" t="str">
        <f>"1482.00"</f>
        <v>1482.00</v>
      </c>
      <c r="L158" t="str">
        <f>"1482.00"</f>
        <v>1482.00</v>
      </c>
      <c r="M158" t="str">
        <f>"Maybank KFH"</f>
        <v>Maybank KFH</v>
      </c>
      <c r="N158" t="str">
        <f>"MOHD FIKRY BIN MOHD"</f>
        <v>MOHD FIKRY BIN MOHD</v>
      </c>
      <c r="O158" t="str">
        <f>"MAYBANK"</f>
        <v>MAYBANK</v>
      </c>
      <c r="P158" t="str">
        <f>"MBBEMYKL"</f>
        <v>MBBEMYKL</v>
      </c>
      <c r="Q158" t="str">
        <f t="shared" si="33"/>
        <v>NIL</v>
      </c>
      <c r="R158" t="str">
        <f>"splitxen@hotmail.com"</f>
        <v>splitxen@hotmail.com</v>
      </c>
      <c r="S158" t="str">
        <f>"iPAY to MOHD FIKRY BIN MOHD (MAYBANK: 164780025460) (Ref No: 270114158472)"</f>
        <v>iPAY to MOHD FIKRY BIN MOHD (MAYBANK: 164780025460) (Ref No: 270114158472)</v>
      </c>
      <c r="T158" t="str">
        <f t="shared" si="32"/>
        <v>2014-01-27</v>
      </c>
      <c r="U158" t="s">
        <v>32</v>
      </c>
      <c r="V158" t="str">
        <f>"Successful"</f>
        <v>Successful</v>
      </c>
      <c r="W158" t="str">
        <f>"270114158472"</f>
        <v>270114158472</v>
      </c>
      <c r="X158" t="str">
        <f t="shared" si="28"/>
        <v>219.93.33.173</v>
      </c>
    </row>
    <row r="159" spans="1:24">
      <c r="A159" t="s">
        <v>182</v>
      </c>
      <c r="B159" t="str">
        <f>"27/01/2014 11:38:35"</f>
        <v>27/01/2014 11:38:35</v>
      </c>
      <c r="C159" t="str">
        <f>"33690"</f>
        <v>33690</v>
      </c>
      <c r="D159" t="str">
        <f>"myiezza83"</f>
        <v>myiezza83</v>
      </c>
      <c r="E159" t="str">
        <f>"HAMIZAH BINTI SAMAN"</f>
        <v>HAMIZAH BINTI SAMAN</v>
      </c>
      <c r="F159" t="str">
        <f>"009102004350"</f>
        <v>009102004350</v>
      </c>
      <c r="G159" t="str">
        <f>"10130003106204"</f>
        <v>10130003106204</v>
      </c>
      <c r="H159" t="str">
        <f t="shared" si="34"/>
        <v>MYR</v>
      </c>
      <c r="I159" t="str">
        <f t="shared" si="34"/>
        <v>MYR</v>
      </c>
      <c r="J159" t="str">
        <f>"NIL"</f>
        <v>NIL</v>
      </c>
      <c r="K159" t="str">
        <f>"40.00"</f>
        <v>40.00</v>
      </c>
      <c r="L159" t="str">
        <f>"40.00"</f>
        <v>40.00</v>
      </c>
      <c r="M159" t="str">
        <f>"NIL"</f>
        <v>NIL</v>
      </c>
      <c r="N159" t="str">
        <f>"HAMIZAH SAMAN"</f>
        <v>HAMIZAH SAMAN</v>
      </c>
      <c r="O159" t="str">
        <f>"CIMB BANK"</f>
        <v>CIMB BANK</v>
      </c>
      <c r="P159" t="str">
        <f>"CIBBMYKL"</f>
        <v>CIBBMYKL</v>
      </c>
      <c r="Q159" t="str">
        <f t="shared" si="33"/>
        <v>NIL</v>
      </c>
      <c r="R159" t="str">
        <f>"miz.amiza@ymail.com"</f>
        <v>miz.amiza@ymail.com</v>
      </c>
      <c r="S159" t="str">
        <f>"iPAY to HAMIZAH SAMAN (CIMB BANK: 10130003106204)"</f>
        <v>iPAY to HAMIZAH SAMAN (CIMB BANK: 10130003106204)</v>
      </c>
      <c r="T159" t="str">
        <f t="shared" si="32"/>
        <v>2014-01-27</v>
      </c>
      <c r="U159" t="s">
        <v>34</v>
      </c>
      <c r="V159" t="str">
        <f>"Insufficient funds"</f>
        <v>Insufficient funds</v>
      </c>
      <c r="W159" t="str">
        <f>"NIL"</f>
        <v>NIL</v>
      </c>
      <c r="X159" t="str">
        <f t="shared" si="28"/>
        <v>219.93.33.173</v>
      </c>
    </row>
    <row r="160" spans="1:24">
      <c r="A160" t="s">
        <v>183</v>
      </c>
      <c r="B160" t="str">
        <f>"27/01/2014 11:39:14"</f>
        <v>27/01/2014 11:39:14</v>
      </c>
      <c r="C160" t="str">
        <f>"1338"</f>
        <v>1338</v>
      </c>
      <c r="D160" t="str">
        <f>"SwimChap73"</f>
        <v>SwimChap73</v>
      </c>
      <c r="E160" t="str">
        <f>"ABDUL HARIS BIN ABDUL HALIM"</f>
        <v>ABDUL HARIS BIN ABDUL HALIM</v>
      </c>
      <c r="F160" t="str">
        <f>"001102006197"</f>
        <v>001102006197</v>
      </c>
      <c r="G160" t="str">
        <f>"14014080097389"</f>
        <v>14014080097389</v>
      </c>
      <c r="H160" t="str">
        <f t="shared" si="34"/>
        <v>MYR</v>
      </c>
      <c r="I160" t="str">
        <f t="shared" si="34"/>
        <v>MYR</v>
      </c>
      <c r="J160" t="str">
        <f>"2008-01-14"</f>
        <v>2008-01-14</v>
      </c>
      <c r="K160" t="str">
        <f>"800.00"</f>
        <v>800.00</v>
      </c>
      <c r="L160" t="str">
        <f>"800.00"</f>
        <v>800.00</v>
      </c>
      <c r="M160" t="str">
        <f>"Jan'14"</f>
        <v>Jan'14</v>
      </c>
      <c r="N160" t="str">
        <f>"ABDUL HARIS BIN ABDUL HALI"</f>
        <v>ABDUL HARIS BIN ABDUL HALI</v>
      </c>
      <c r="O160" t="str">
        <f>"BANK ISLAM MALAYSIA BHD"</f>
        <v>BANK ISLAM MALAYSIA BHD</v>
      </c>
      <c r="P160" t="str">
        <f>"BIMBMYKL"</f>
        <v>BIMBMYKL</v>
      </c>
      <c r="Q160" t="str">
        <f t="shared" si="33"/>
        <v>NIL</v>
      </c>
      <c r="R160" t="str">
        <f>"haris.halim73@gmail.com"</f>
        <v>haris.halim73@gmail.com</v>
      </c>
      <c r="S160" t="str">
        <f>"iPAY to ABDUL HARIS BIN ABDUL HALI (BANK ISLAM MALAYSIA BHD: 14014080097389) (Ref No: 270114158476)"</f>
        <v>iPAY to ABDUL HARIS BIN ABDUL HALI (BANK ISLAM MALAYSIA BHD: 14014080097389) (Ref No: 270114158476)</v>
      </c>
      <c r="T160" t="str">
        <f t="shared" si="32"/>
        <v>2014-01-27</v>
      </c>
      <c r="U160" t="s">
        <v>32</v>
      </c>
      <c r="V160" t="str">
        <f>"Successful"</f>
        <v>Successful</v>
      </c>
      <c r="W160" t="str">
        <f>"270114158476"</f>
        <v>270114158476</v>
      </c>
      <c r="X160" t="str">
        <f t="shared" si="28"/>
        <v>219.93.33.173</v>
      </c>
    </row>
    <row r="161" spans="1:24">
      <c r="A161" t="s">
        <v>184</v>
      </c>
      <c r="B161" t="str">
        <f>"27/01/2014 11:40:33"</f>
        <v>27/01/2014 11:40:33</v>
      </c>
      <c r="C161" t="str">
        <f>"36521"</f>
        <v>36521</v>
      </c>
      <c r="D161" t="str">
        <f>"fazlynn_nadira"</f>
        <v>fazlynn_nadira</v>
      </c>
      <c r="E161" t="str">
        <f>"FAZLYNN NADIRA BINTI MOHD AZRUL RAJ"</f>
        <v>FAZLYNN NADIRA BINTI MOHD AZRUL RAJ</v>
      </c>
      <c r="F161" t="str">
        <f>"001102032783"</f>
        <v>001102032783</v>
      </c>
      <c r="G161" t="str">
        <f>"21438900045864"</f>
        <v>21438900045864</v>
      </c>
      <c r="H161" t="str">
        <f t="shared" si="34"/>
        <v>MYR</v>
      </c>
      <c r="I161" t="str">
        <f t="shared" si="34"/>
        <v>MYR</v>
      </c>
      <c r="J161" t="str">
        <f>"2012-02-10"</f>
        <v>2012-02-10</v>
      </c>
      <c r="K161" t="str">
        <f>"775.50"</f>
        <v>775.50</v>
      </c>
      <c r="L161" t="str">
        <f>"775.50"</f>
        <v>775.50</v>
      </c>
      <c r="M161" t="str">
        <f>"7N-02 Fazlynn"</f>
        <v>7N-02 Fazlynn</v>
      </c>
      <c r="N161" t="str">
        <f>"INTAN PERMATA"</f>
        <v>INTAN PERMATA</v>
      </c>
      <c r="O161" t="str">
        <f>"RHB BANK"</f>
        <v>RHB BANK</v>
      </c>
      <c r="P161" t="str">
        <f>"RHBBMYKL"</f>
        <v>RHBBMYKL</v>
      </c>
      <c r="Q161" t="str">
        <f t="shared" si="33"/>
        <v>NIL</v>
      </c>
      <c r="R161" t="str">
        <f>"maskiarattdi@henrybutcher.com.my"</f>
        <v>maskiarattdi@henrybutcher.com.my</v>
      </c>
      <c r="S161" t="str">
        <f>"iPAY to INTAN PERMATA (RHB BANK: 21438900045864) (Ref No: 270114158465)"</f>
        <v>iPAY to INTAN PERMATA (RHB BANK: 21438900045864) (Ref No: 270114158465)</v>
      </c>
      <c r="T161" t="str">
        <f t="shared" si="32"/>
        <v>2014-01-27</v>
      </c>
      <c r="U161" t="s">
        <v>32</v>
      </c>
      <c r="V161" t="str">
        <f>"Successful"</f>
        <v>Successful</v>
      </c>
      <c r="W161" t="str">
        <f>"270114158465"</f>
        <v>270114158465</v>
      </c>
      <c r="X161" t="str">
        <f t="shared" si="28"/>
        <v>219.93.33.173</v>
      </c>
    </row>
    <row r="162" spans="1:24">
      <c r="A162" t="s">
        <v>185</v>
      </c>
      <c r="B162" t="str">
        <f>"27/01/2014 11:40:48"</f>
        <v>27/01/2014 11:40:48</v>
      </c>
      <c r="C162" t="str">
        <f>"42029"</f>
        <v>42029</v>
      </c>
      <c r="D162" t="str">
        <f>"k_ilyana"</f>
        <v>k_ilyana</v>
      </c>
      <c r="E162" t="str">
        <f>"KHAIRATUL ILYANA BINTI KAMARUDDIN"</f>
        <v>KHAIRATUL ILYANA BINTI KAMARUDDIN</v>
      </c>
      <c r="F162" t="str">
        <f>"001103017969"</f>
        <v>001103017969</v>
      </c>
      <c r="G162" t="str">
        <f>"164221033287"</f>
        <v>164221033287</v>
      </c>
      <c r="H162" t="str">
        <f t="shared" si="34"/>
        <v>MYR</v>
      </c>
      <c r="I162" t="str">
        <f t="shared" si="34"/>
        <v>MYR</v>
      </c>
      <c r="J162" t="str">
        <f>"NIL"</f>
        <v>NIL</v>
      </c>
      <c r="K162" t="str">
        <f>"500.00"</f>
        <v>500.00</v>
      </c>
      <c r="L162" t="str">
        <f>"500.00"</f>
        <v>500.00</v>
      </c>
      <c r="M162" t="str">
        <f>"NIL"</f>
        <v>NIL</v>
      </c>
      <c r="N162" t="str">
        <f>"KHAIRATUL ILYANA"</f>
        <v>KHAIRATUL ILYANA</v>
      </c>
      <c r="O162" t="str">
        <f>"MAYBANK"</f>
        <v>MAYBANK</v>
      </c>
      <c r="P162" t="str">
        <f>"MBBEMYKL"</f>
        <v>MBBEMYKL</v>
      </c>
      <c r="Q162" t="str">
        <f t="shared" si="33"/>
        <v>NIL</v>
      </c>
      <c r="R162" t="str">
        <f>"khairatul.ilyana@gmail.com"</f>
        <v>khairatul.ilyana@gmail.com</v>
      </c>
      <c r="S162" t="str">
        <f>"iPAY to KHAIRATUL ILYANA (MAYBANK: 164221033287)"</f>
        <v>iPAY to KHAIRATUL ILYANA (MAYBANK: 164221033287)</v>
      </c>
      <c r="T162" t="str">
        <f t="shared" si="32"/>
        <v>2014-01-27</v>
      </c>
      <c r="U162" t="s">
        <v>34</v>
      </c>
      <c r="V162" t="str">
        <f>"System error"</f>
        <v>System error</v>
      </c>
      <c r="W162" t="str">
        <f>"NIL"</f>
        <v>NIL</v>
      </c>
      <c r="X162" t="str">
        <f t="shared" si="28"/>
        <v>219.93.33.173</v>
      </c>
    </row>
    <row r="163" spans="1:24">
      <c r="A163" t="s">
        <v>186</v>
      </c>
      <c r="B163" t="str">
        <f>"27/01/2014 11:40:57"</f>
        <v>27/01/2014 11:40:57</v>
      </c>
      <c r="C163" t="str">
        <f>"9869"</f>
        <v>9869</v>
      </c>
      <c r="D163" t="str">
        <f>"aida_mastura"</f>
        <v>aida_mastura</v>
      </c>
      <c r="E163" t="str">
        <f>"NOOR AIDA MASTURA BINTI HAZIZI"</f>
        <v>NOOR AIDA MASTURA BINTI HAZIZI</v>
      </c>
      <c r="F163" t="str">
        <f>"001102024012"</f>
        <v>001102024012</v>
      </c>
      <c r="G163" t="str">
        <f>"509017604246"</f>
        <v>509017604246</v>
      </c>
      <c r="H163" t="str">
        <f t="shared" si="34"/>
        <v>MYR</v>
      </c>
      <c r="I163" t="str">
        <f t="shared" si="34"/>
        <v>MYR</v>
      </c>
      <c r="J163" t="str">
        <f>"2011-03-15"</f>
        <v>2011-03-15</v>
      </c>
      <c r="K163" t="str">
        <f>"21.00"</f>
        <v>21.00</v>
      </c>
      <c r="L163" t="str">
        <f>"21.00"</f>
        <v>21.00</v>
      </c>
      <c r="M163" t="str">
        <f>"1dznsusuberascoll"</f>
        <v>1dznsusuberascoll</v>
      </c>
      <c r="N163" t="str">
        <f>"JUZAILAH BINTI ARSHA"</f>
        <v>JUZAILAH BINTI ARSHA</v>
      </c>
      <c r="O163" t="str">
        <f>"MAYBANK"</f>
        <v>MAYBANK</v>
      </c>
      <c r="P163" t="str">
        <f>"MBBEMYKL"</f>
        <v>MBBEMYKL</v>
      </c>
      <c r="Q163" t="str">
        <f>"1dznsusuberascoll"</f>
        <v>1dznsusuberascoll</v>
      </c>
      <c r="R163" t="str">
        <f>"aida_mastura@hotmail.com"</f>
        <v>aida_mastura@hotmail.com</v>
      </c>
      <c r="S163" t="str">
        <f>"iPAY to JUZAILAH BINTI ARSHA (MAYBANK: 509017604246) (Ref No: 270114158480)"</f>
        <v>iPAY to JUZAILAH BINTI ARSHA (MAYBANK: 509017604246) (Ref No: 270114158480)</v>
      </c>
      <c r="T163" t="str">
        <f t="shared" si="32"/>
        <v>2014-01-27</v>
      </c>
      <c r="U163" t="s">
        <v>32</v>
      </c>
      <c r="V163" t="str">
        <f>"Successful"</f>
        <v>Successful</v>
      </c>
      <c r="W163" t="str">
        <f>"270114158480"</f>
        <v>270114158480</v>
      </c>
      <c r="X163" t="str">
        <f t="shared" si="28"/>
        <v>219.93.33.173</v>
      </c>
    </row>
    <row r="164" spans="1:24">
      <c r="A164" t="s">
        <v>187</v>
      </c>
      <c r="B164" t="str">
        <f>"27/01/2014 11:42:08"</f>
        <v>27/01/2014 11:42:08</v>
      </c>
      <c r="C164" t="str">
        <f>"33690"</f>
        <v>33690</v>
      </c>
      <c r="D164" t="str">
        <f>"myiezza83"</f>
        <v>myiezza83</v>
      </c>
      <c r="E164" t="str">
        <f>"HAMIZAH BINTI SAMAN"</f>
        <v>HAMIZAH BINTI SAMAN</v>
      </c>
      <c r="F164" t="str">
        <f>"009103003482"</f>
        <v>009103003482</v>
      </c>
      <c r="G164" t="str">
        <f>"10130003106204"</f>
        <v>10130003106204</v>
      </c>
      <c r="H164" t="str">
        <f t="shared" si="34"/>
        <v>MYR</v>
      </c>
      <c r="I164" t="str">
        <f t="shared" si="34"/>
        <v>MYR</v>
      </c>
      <c r="J164" t="str">
        <f>"NIL"</f>
        <v>NIL</v>
      </c>
      <c r="K164" t="str">
        <f>"40.00"</f>
        <v>40.00</v>
      </c>
      <c r="L164" t="str">
        <f>"40.00"</f>
        <v>40.00</v>
      </c>
      <c r="M164" t="str">
        <f>"NIL"</f>
        <v>NIL</v>
      </c>
      <c r="N164" t="str">
        <f>"HAMIZAH SAMAN"</f>
        <v>HAMIZAH SAMAN</v>
      </c>
      <c r="O164" t="str">
        <f>"CIMB BANK"</f>
        <v>CIMB BANK</v>
      </c>
      <c r="P164" t="str">
        <f>"CIBBMYKL"</f>
        <v>CIBBMYKL</v>
      </c>
      <c r="Q164" t="str">
        <f t="shared" ref="Q164:Q187" si="35">"NIL"</f>
        <v>NIL</v>
      </c>
      <c r="R164" t="str">
        <f>"miz.amiza@ymail.com"</f>
        <v>miz.amiza@ymail.com</v>
      </c>
      <c r="S164" t="str">
        <f>"iPAY to HAMIZAH SAMAN (CIMB BANK: 10130003106204)"</f>
        <v>iPAY to HAMIZAH SAMAN (CIMB BANK: 10130003106204)</v>
      </c>
      <c r="T164" t="str">
        <f t="shared" si="32"/>
        <v>2014-01-27</v>
      </c>
      <c r="U164" t="s">
        <v>34</v>
      </c>
      <c r="V164" t="str">
        <f>"System error"</f>
        <v>System error</v>
      </c>
      <c r="W164" t="str">
        <f>"NIL"</f>
        <v>NIL</v>
      </c>
      <c r="X164" t="str">
        <f t="shared" si="28"/>
        <v>219.93.33.173</v>
      </c>
    </row>
    <row r="165" spans="1:24">
      <c r="A165" t="s">
        <v>188</v>
      </c>
      <c r="B165" t="str">
        <f>"27/01/2014 11:46:25"</f>
        <v>27/01/2014 11:46:25</v>
      </c>
      <c r="C165" t="str">
        <f>"923"</f>
        <v>923</v>
      </c>
      <c r="D165" t="str">
        <f>"suhaila177"</f>
        <v>suhaila177</v>
      </c>
      <c r="E165" t="str">
        <f>"SUHAILA BT SULAIMAN"</f>
        <v>SUHAILA BT SULAIMAN</v>
      </c>
      <c r="F165" t="str">
        <f>"001102005050"</f>
        <v>001102005050</v>
      </c>
      <c r="G165" t="str">
        <f>"4784326319"</f>
        <v>4784326319</v>
      </c>
      <c r="H165" t="str">
        <f t="shared" si="34"/>
        <v>MYR</v>
      </c>
      <c r="I165" t="str">
        <f t="shared" si="34"/>
        <v>MYR</v>
      </c>
      <c r="J165" t="str">
        <f>"2007-06-29"</f>
        <v>2007-06-29</v>
      </c>
      <c r="K165" t="str">
        <f>"309.00"</f>
        <v>309.00</v>
      </c>
      <c r="L165" t="str">
        <f>"309.00"</f>
        <v>309.00</v>
      </c>
      <c r="M165" t="str">
        <f>"NIL"</f>
        <v>NIL</v>
      </c>
      <c r="N165" t="str">
        <f>"SUHAILA BT SULAIMAN"</f>
        <v>SUHAILA BT SULAIMAN</v>
      </c>
      <c r="O165" t="str">
        <f>"PUBLIC BANK"</f>
        <v>PUBLIC BANK</v>
      </c>
      <c r="P165" t="str">
        <f>"PBBEMYKL"</f>
        <v>PBBEMYKL</v>
      </c>
      <c r="Q165" t="str">
        <f t="shared" si="35"/>
        <v>NIL</v>
      </c>
      <c r="R165" t="str">
        <f>"NIL"</f>
        <v>NIL</v>
      </c>
      <c r="S165" t="str">
        <f>"iPAY to SUHAILA BT SULAIMAN (PUBLIC BANK: 4784326319) (Ref No: 270114158483)"</f>
        <v>iPAY to SUHAILA BT SULAIMAN (PUBLIC BANK: 4784326319) (Ref No: 270114158483)</v>
      </c>
      <c r="T165" t="str">
        <f t="shared" si="32"/>
        <v>2014-01-27</v>
      </c>
      <c r="U165" t="s">
        <v>32</v>
      </c>
      <c r="V165" t="str">
        <f>"Successful"</f>
        <v>Successful</v>
      </c>
      <c r="W165" t="str">
        <f>"270114158483"</f>
        <v>270114158483</v>
      </c>
      <c r="X165" t="str">
        <f>"115.133.181.170"</f>
        <v>115.133.181.170</v>
      </c>
    </row>
    <row r="166" spans="1:24">
      <c r="A166" t="s">
        <v>189</v>
      </c>
      <c r="B166" t="str">
        <f>"27/01/2014 11:49:58"</f>
        <v>27/01/2014 11:49:58</v>
      </c>
      <c r="C166" t="str">
        <f>"12612"</f>
        <v>12612</v>
      </c>
      <c r="D166" t="str">
        <f>"ramlahsarun"</f>
        <v>ramlahsarun</v>
      </c>
      <c r="E166" t="str">
        <f>"RAMLAH BINTI SARUN"</f>
        <v>RAMLAH BINTI SARUN</v>
      </c>
      <c r="F166" t="str">
        <f>"001103004522"</f>
        <v>001103004522</v>
      </c>
      <c r="G166" t="str">
        <f>"512763050707"</f>
        <v>512763050707</v>
      </c>
      <c r="H166" t="str">
        <f t="shared" si="34"/>
        <v>MYR</v>
      </c>
      <c r="I166" t="str">
        <f t="shared" si="34"/>
        <v>MYR</v>
      </c>
      <c r="J166" t="str">
        <f>"2011-06-08"</f>
        <v>2011-06-08</v>
      </c>
      <c r="K166" t="str">
        <f>"250.00"</f>
        <v>250.00</v>
      </c>
      <c r="L166" t="str">
        <f>"250.00"</f>
        <v>250.00</v>
      </c>
      <c r="M166" t="str">
        <f>"PRUDENTIAL"</f>
        <v>PRUDENTIAL</v>
      </c>
      <c r="N166" t="str">
        <f>"ZAIMINORDIN BIN KAMA"</f>
        <v>ZAIMINORDIN BIN KAMA</v>
      </c>
      <c r="O166" t="str">
        <f>"MAYBANK"</f>
        <v>MAYBANK</v>
      </c>
      <c r="P166" t="str">
        <f>"MBBEMYKL"</f>
        <v>MBBEMYKL</v>
      </c>
      <c r="Q166" t="str">
        <f t="shared" si="35"/>
        <v>NIL</v>
      </c>
      <c r="R166" t="str">
        <f>"ramlahsarun@gmail.com"</f>
        <v>ramlahsarun@gmail.com</v>
      </c>
      <c r="S166" t="str">
        <f>"iPAY to ZAIMINORDIN BIN KAMA (MAYBANK: 512763050707) (Ref No: 270114158487)"</f>
        <v>iPAY to ZAIMINORDIN BIN KAMA (MAYBANK: 512763050707) (Ref No: 270114158487)</v>
      </c>
      <c r="T166" t="str">
        <f t="shared" si="32"/>
        <v>2014-01-27</v>
      </c>
      <c r="U166" t="s">
        <v>32</v>
      </c>
      <c r="V166" t="str">
        <f>"Successful"</f>
        <v>Successful</v>
      </c>
      <c r="W166" t="str">
        <f>"270114158487"</f>
        <v>270114158487</v>
      </c>
      <c r="X166" t="str">
        <f t="shared" ref="X166:X182" si="36">"219.93.33.173"</f>
        <v>219.93.33.173</v>
      </c>
    </row>
    <row r="167" spans="1:24">
      <c r="A167" t="s">
        <v>190</v>
      </c>
      <c r="B167" t="str">
        <f>"27/01/2014 11:50:13"</f>
        <v>27/01/2014 11:50:13</v>
      </c>
      <c r="C167" t="str">
        <f>"31121"</f>
        <v>31121</v>
      </c>
      <c r="D167" t="str">
        <f>"sarirah77"</f>
        <v>sarirah77</v>
      </c>
      <c r="E167" t="str">
        <f>"SARIRAH BINTI AHMAD"</f>
        <v>SARIRAH BINTI AHMAD</v>
      </c>
      <c r="F167" t="str">
        <f>"001102030403"</f>
        <v>001102030403</v>
      </c>
      <c r="G167" t="str">
        <f>"1513170578"</f>
        <v>1513170578</v>
      </c>
      <c r="H167" t="str">
        <f t="shared" si="34"/>
        <v>MYR</v>
      </c>
      <c r="I167" t="str">
        <f t="shared" si="34"/>
        <v>MYR</v>
      </c>
      <c r="J167" t="str">
        <f>"NIL"</f>
        <v>NIL</v>
      </c>
      <c r="K167" t="str">
        <f>"1500.00"</f>
        <v>1500.00</v>
      </c>
      <c r="L167" t="str">
        <f>"1500.00"</f>
        <v>1500.00</v>
      </c>
      <c r="M167" t="str">
        <f>"NIL"</f>
        <v>NIL</v>
      </c>
      <c r="N167" t="str">
        <f>"SARIRAH BINTI AHMAD"</f>
        <v>SARIRAH BINTI AHMAD</v>
      </c>
      <c r="O167" t="str">
        <f>"UNITED OVERSEAS BANK"</f>
        <v>UNITED OVERSEAS BANK</v>
      </c>
      <c r="P167" t="str">
        <f>"UOVBMYKL"</f>
        <v>UOVBMYKL</v>
      </c>
      <c r="Q167" t="str">
        <f t="shared" si="35"/>
        <v>NIL</v>
      </c>
      <c r="R167" t="str">
        <f>"NIL"</f>
        <v>NIL</v>
      </c>
      <c r="S167" t="str">
        <f>"iPAY to SARIRAH BINTI AHMAD (UNITED OVERSEAS BANK: 1513170578)"</f>
        <v>iPAY to SARIRAH BINTI AHMAD (UNITED OVERSEAS BANK: 1513170578)</v>
      </c>
      <c r="T167" t="str">
        <f t="shared" si="32"/>
        <v>2014-01-27</v>
      </c>
      <c r="U167" t="s">
        <v>34</v>
      </c>
      <c r="V167" t="str">
        <f>"System error"</f>
        <v>System error</v>
      </c>
      <c r="W167" t="str">
        <f>"NIL"</f>
        <v>NIL</v>
      </c>
      <c r="X167" t="str">
        <f t="shared" si="36"/>
        <v>219.93.33.173</v>
      </c>
    </row>
    <row r="168" spans="1:24">
      <c r="A168" t="s">
        <v>191</v>
      </c>
      <c r="B168" t="str">
        <f>"27/01/2014 11:50:26"</f>
        <v>27/01/2014 11:50:26</v>
      </c>
      <c r="C168" t="str">
        <f>"1633"</f>
        <v>1633</v>
      </c>
      <c r="D168" t="str">
        <f>"wanrazalli"</f>
        <v>wanrazalli</v>
      </c>
      <c r="E168" t="str">
        <f>"WAN RAZALLI BIN WAN MOHAMAD RADZI"</f>
        <v>WAN RAZALLI BIN WAN MOHAMAD RADZI</v>
      </c>
      <c r="F168" t="str">
        <f>"001102007347"</f>
        <v>001102007347</v>
      </c>
      <c r="G168" t="str">
        <f>"514712051196"</f>
        <v>514712051196</v>
      </c>
      <c r="H168" t="str">
        <f t="shared" si="34"/>
        <v>MYR</v>
      </c>
      <c r="I168" t="str">
        <f t="shared" si="34"/>
        <v>MYR</v>
      </c>
      <c r="J168" t="str">
        <f>"2008-05-05"</f>
        <v>2008-05-05</v>
      </c>
      <c r="K168" t="str">
        <f>"2050.00"</f>
        <v>2050.00</v>
      </c>
      <c r="L168" t="str">
        <f>"2050.00"</f>
        <v>2050.00</v>
      </c>
      <c r="M168" t="str">
        <f>"NIL"</f>
        <v>NIL</v>
      </c>
      <c r="N168" t="str">
        <f>"ALFRED KENNETH JINGU"</f>
        <v>ALFRED KENNETH JINGU</v>
      </c>
      <c r="O168" t="str">
        <f>"MAYBANK"</f>
        <v>MAYBANK</v>
      </c>
      <c r="P168" t="str">
        <f>"MBBEMYKL"</f>
        <v>MBBEMYKL</v>
      </c>
      <c r="Q168" t="str">
        <f t="shared" si="35"/>
        <v>NIL</v>
      </c>
      <c r="R168" t="str">
        <f>"NIL"</f>
        <v>NIL</v>
      </c>
      <c r="S168" t="str">
        <f>"iPAY to ALFRED KENNETH JINGU (MAYBANK: 514712051196) (Ref No: 270114158495)"</f>
        <v>iPAY to ALFRED KENNETH JINGU (MAYBANK: 514712051196) (Ref No: 270114158495)</v>
      </c>
      <c r="T168" t="str">
        <f t="shared" si="32"/>
        <v>2014-01-27</v>
      </c>
      <c r="U168" t="s">
        <v>32</v>
      </c>
      <c r="V168" t="str">
        <f>"Successful"</f>
        <v>Successful</v>
      </c>
      <c r="W168" t="str">
        <f>"270114158495"</f>
        <v>270114158495</v>
      </c>
      <c r="X168" t="str">
        <f t="shared" si="36"/>
        <v>219.93.33.173</v>
      </c>
    </row>
    <row r="169" spans="1:24">
      <c r="A169" t="s">
        <v>192</v>
      </c>
      <c r="B169" t="str">
        <f>"27/01/2014 11:51:09"</f>
        <v>27/01/2014 11:51:09</v>
      </c>
      <c r="C169" t="str">
        <f>"31121"</f>
        <v>31121</v>
      </c>
      <c r="D169" t="str">
        <f>"sarirah77"</f>
        <v>sarirah77</v>
      </c>
      <c r="E169" t="str">
        <f>"SARIRAH BINTI AHMAD"</f>
        <v>SARIRAH BINTI AHMAD</v>
      </c>
      <c r="F169" t="str">
        <f>"001102030403"</f>
        <v>001102030403</v>
      </c>
      <c r="G169" t="str">
        <f>"1513170578"</f>
        <v>1513170578</v>
      </c>
      <c r="H169" t="str">
        <f t="shared" si="34"/>
        <v>MYR</v>
      </c>
      <c r="I169" t="str">
        <f t="shared" si="34"/>
        <v>MYR</v>
      </c>
      <c r="J169" t="str">
        <f>"2011-12-01"</f>
        <v>2011-12-01</v>
      </c>
      <c r="K169" t="str">
        <f>"1500.00"</f>
        <v>1500.00</v>
      </c>
      <c r="L169" t="str">
        <f>"1500.00"</f>
        <v>1500.00</v>
      </c>
      <c r="M169" t="str">
        <f>"NIL"</f>
        <v>NIL</v>
      </c>
      <c r="N169" t="str">
        <f>"SARIRAH BINTI AHMAD"</f>
        <v>SARIRAH BINTI AHMAD</v>
      </c>
      <c r="O169" t="str">
        <f>"UNITED OVERSEAS BANK"</f>
        <v>UNITED OVERSEAS BANK</v>
      </c>
      <c r="P169" t="str">
        <f>"UOVBMYKL"</f>
        <v>UOVBMYKL</v>
      </c>
      <c r="Q169" t="str">
        <f t="shared" si="35"/>
        <v>NIL</v>
      </c>
      <c r="R169" t="str">
        <f>"NIL"</f>
        <v>NIL</v>
      </c>
      <c r="S169" t="str">
        <f>"iPAY to SARIRAH BINTI AHMAD (UNITED OVERSEAS BANK: 1513170578) (Ref No: 270114158491)"</f>
        <v>iPAY to SARIRAH BINTI AHMAD (UNITED OVERSEAS BANK: 1513170578) (Ref No: 270114158491)</v>
      </c>
      <c r="T169" t="str">
        <f t="shared" si="32"/>
        <v>2014-01-27</v>
      </c>
      <c r="U169" t="s">
        <v>32</v>
      </c>
      <c r="V169" t="str">
        <f>"Successful"</f>
        <v>Successful</v>
      </c>
      <c r="W169" t="str">
        <f>"270114158491"</f>
        <v>270114158491</v>
      </c>
      <c r="X169" t="str">
        <f t="shared" si="36"/>
        <v>219.93.33.173</v>
      </c>
    </row>
    <row r="170" spans="1:24">
      <c r="A170" t="s">
        <v>193</v>
      </c>
      <c r="B170" t="str">
        <f>"27/01/2014 11:54:33"</f>
        <v>27/01/2014 11:54:33</v>
      </c>
      <c r="C170" t="str">
        <f>"36413"</f>
        <v>36413</v>
      </c>
      <c r="D170" t="str">
        <f>"liyanaizyan"</f>
        <v>liyanaizyan</v>
      </c>
      <c r="E170" t="str">
        <f>"NURLIYANA IZYAN BINTI MAHAMOOD"</f>
        <v>NURLIYANA IZYAN BINTI MAHAMOOD</v>
      </c>
      <c r="F170" t="str">
        <f>"001103015397"</f>
        <v>001103015397</v>
      </c>
      <c r="G170" t="str">
        <f>"220631338365"</f>
        <v>220631338365</v>
      </c>
      <c r="H170" t="str">
        <f t="shared" ref="H170:I189" si="37">"MYR"</f>
        <v>MYR</v>
      </c>
      <c r="I170" t="str">
        <f t="shared" si="37"/>
        <v>MYR</v>
      </c>
      <c r="J170" t="str">
        <f>"NIL"</f>
        <v>NIL</v>
      </c>
      <c r="K170" t="str">
        <f>"350.00"</f>
        <v>350.00</v>
      </c>
      <c r="L170" t="str">
        <f>"350.00"</f>
        <v>350.00</v>
      </c>
      <c r="M170" t="str">
        <f>"ielts"</f>
        <v>ielts</v>
      </c>
      <c r="N170" t="str">
        <f>"CHE GAYAH BINTI ISMAIL"</f>
        <v>CHE GAYAH BINTI ISMAIL</v>
      </c>
      <c r="O170" t="str">
        <f>"BANK RAKYAT"</f>
        <v>BANK RAKYAT</v>
      </c>
      <c r="P170" t="str">
        <f>"BKRMMYK1"</f>
        <v>BKRMMYK1</v>
      </c>
      <c r="Q170" t="str">
        <f t="shared" si="35"/>
        <v>NIL</v>
      </c>
      <c r="R170" t="str">
        <f>"cgayah@met.gov.my"</f>
        <v>cgayah@met.gov.my</v>
      </c>
      <c r="S170" t="str">
        <f>"iPAY to CHE GAYAH BINTI ISMAIL (BANK RAKYAT: 220631338365)"</f>
        <v>iPAY to CHE GAYAH BINTI ISMAIL (BANK RAKYAT: 220631338365)</v>
      </c>
      <c r="T170" t="str">
        <f t="shared" si="32"/>
        <v>2014-01-27</v>
      </c>
      <c r="U170" t="s">
        <v>34</v>
      </c>
      <c r="V170" t="str">
        <f>"System error"</f>
        <v>System error</v>
      </c>
      <c r="W170" t="str">
        <f>"NIL"</f>
        <v>NIL</v>
      </c>
      <c r="X170" t="str">
        <f t="shared" si="36"/>
        <v>219.93.33.173</v>
      </c>
    </row>
    <row r="171" spans="1:24">
      <c r="A171" t="s">
        <v>194</v>
      </c>
      <c r="B171" t="str">
        <f>"27/01/2014 11:54:56"</f>
        <v>27/01/2014 11:54:56</v>
      </c>
      <c r="C171" t="str">
        <f>"43566"</f>
        <v>43566</v>
      </c>
      <c r="D171" t="str">
        <f>"badriyahnur89"</f>
        <v>badriyahnur89</v>
      </c>
      <c r="E171" t="str">
        <f>"NUR BADRIYAH BINTI MOKHTAR"</f>
        <v>NUR BADRIYAH BINTI MOKHTAR</v>
      </c>
      <c r="F171" t="str">
        <f>"005103002152"</f>
        <v>005103002152</v>
      </c>
      <c r="G171" t="str">
        <f>"156011978562"</f>
        <v>156011978562</v>
      </c>
      <c r="H171" t="str">
        <f t="shared" si="37"/>
        <v>MYR</v>
      </c>
      <c r="I171" t="str">
        <f t="shared" si="37"/>
        <v>MYR</v>
      </c>
      <c r="J171" t="str">
        <f>"2012-07-18"</f>
        <v>2012-07-18</v>
      </c>
      <c r="K171" t="str">
        <f>"45.00"</f>
        <v>45.00</v>
      </c>
      <c r="L171" t="str">
        <f>"45.00"</f>
        <v>45.00</v>
      </c>
      <c r="M171" t="str">
        <f>"NIL"</f>
        <v>NIL</v>
      </c>
      <c r="N171" t="str">
        <f>"AZRUL HISHAM BIN STA"</f>
        <v>AZRUL HISHAM BIN STA</v>
      </c>
      <c r="O171" t="str">
        <f>"MAYBANK"</f>
        <v>MAYBANK</v>
      </c>
      <c r="P171" t="str">
        <f>"MBBEMYKL"</f>
        <v>MBBEMYKL</v>
      </c>
      <c r="Q171" t="str">
        <f t="shared" si="35"/>
        <v>NIL</v>
      </c>
      <c r="R171" t="str">
        <f>"NIL"</f>
        <v>NIL</v>
      </c>
      <c r="S171" t="str">
        <f>"iPAY to AZRUL HISHAM BIN STA (MAYBANK: 156011978562) (Ref No: 270114158499)"</f>
        <v>iPAY to AZRUL HISHAM BIN STA (MAYBANK: 156011978562) (Ref No: 270114158499)</v>
      </c>
      <c r="T171" t="str">
        <f t="shared" si="32"/>
        <v>2014-01-27</v>
      </c>
      <c r="U171" t="s">
        <v>32</v>
      </c>
      <c r="V171" t="str">
        <f>"Successful"</f>
        <v>Successful</v>
      </c>
      <c r="W171" t="str">
        <f>"270114158499"</f>
        <v>270114158499</v>
      </c>
      <c r="X171" t="str">
        <f t="shared" si="36"/>
        <v>219.93.33.173</v>
      </c>
    </row>
    <row r="172" spans="1:24">
      <c r="A172" t="s">
        <v>195</v>
      </c>
      <c r="B172" t="str">
        <f>"27/01/2014 11:57:29"</f>
        <v>27/01/2014 11:57:29</v>
      </c>
      <c r="C172" t="str">
        <f>"36413"</f>
        <v>36413</v>
      </c>
      <c r="D172" t="str">
        <f>"liyanaizyan"</f>
        <v>liyanaizyan</v>
      </c>
      <c r="E172" t="str">
        <f>"NURLIYANA IZYAN BINTI MAHAMOOD"</f>
        <v>NURLIYANA IZYAN BINTI MAHAMOOD</v>
      </c>
      <c r="F172" t="str">
        <f>"001103015397"</f>
        <v>001103015397</v>
      </c>
      <c r="G172" t="str">
        <f>"220631338365"</f>
        <v>220631338365</v>
      </c>
      <c r="H172" t="str">
        <f t="shared" si="37"/>
        <v>MYR</v>
      </c>
      <c r="I172" t="str">
        <f t="shared" si="37"/>
        <v>MYR</v>
      </c>
      <c r="J172" t="str">
        <f>"2012-02-08"</f>
        <v>2012-02-08</v>
      </c>
      <c r="K172" t="str">
        <f>"350.00"</f>
        <v>350.00</v>
      </c>
      <c r="L172" t="str">
        <f>"350.00"</f>
        <v>350.00</v>
      </c>
      <c r="M172" t="str">
        <f>"ielts payment"</f>
        <v>ielts payment</v>
      </c>
      <c r="N172" t="str">
        <f>"CHE GAYAH BINTI ISMAIL"</f>
        <v>CHE GAYAH BINTI ISMAIL</v>
      </c>
      <c r="O172" t="str">
        <f>"BANK RAKYAT"</f>
        <v>BANK RAKYAT</v>
      </c>
      <c r="P172" t="str">
        <f>"BKRMMYK1"</f>
        <v>BKRMMYK1</v>
      </c>
      <c r="Q172" t="str">
        <f t="shared" si="35"/>
        <v>NIL</v>
      </c>
      <c r="R172" t="str">
        <f>"cgayah@met.gov.my"</f>
        <v>cgayah@met.gov.my</v>
      </c>
      <c r="S172" t="str">
        <f>"iPAY to CHE GAYAH BINTI ISMAIL (BANK RAKYAT: 220631338365) (Ref No: 270114158501)"</f>
        <v>iPAY to CHE GAYAH BINTI ISMAIL (BANK RAKYAT: 220631338365) (Ref No: 270114158501)</v>
      </c>
      <c r="T172" t="str">
        <f t="shared" si="32"/>
        <v>2014-01-27</v>
      </c>
      <c r="U172" t="s">
        <v>32</v>
      </c>
      <c r="V172" t="str">
        <f>"Successful"</f>
        <v>Successful</v>
      </c>
      <c r="W172" t="str">
        <f>"270114158501"</f>
        <v>270114158501</v>
      </c>
      <c r="X172" t="str">
        <f t="shared" si="36"/>
        <v>219.93.33.173</v>
      </c>
    </row>
    <row r="173" spans="1:24">
      <c r="A173" t="s">
        <v>196</v>
      </c>
      <c r="B173" t="str">
        <f>"27/01/2014 11:59:43"</f>
        <v>27/01/2014 11:59:43</v>
      </c>
      <c r="C173" t="str">
        <f>"12333"</f>
        <v>12333</v>
      </c>
      <c r="D173" t="str">
        <f>"SZEFOON"</f>
        <v>SZEFOON</v>
      </c>
      <c r="E173" t="str">
        <f>"AW SZE FOON"</f>
        <v>AW SZE FOON</v>
      </c>
      <c r="F173" t="str">
        <f>"001102027100"</f>
        <v>001102027100</v>
      </c>
      <c r="G173" t="str">
        <f>"106089234746"</f>
        <v>106089234746</v>
      </c>
      <c r="H173" t="str">
        <f t="shared" si="37"/>
        <v>MYR</v>
      </c>
      <c r="I173" t="str">
        <f t="shared" si="37"/>
        <v>MYR</v>
      </c>
      <c r="J173" t="str">
        <f>"NIL"</f>
        <v>NIL</v>
      </c>
      <c r="K173" t="str">
        <f>"1000.00"</f>
        <v>1000.00</v>
      </c>
      <c r="L173" t="str">
        <f>"1000.00"</f>
        <v>1000.00</v>
      </c>
      <c r="M173" t="str">
        <f>"NIL"</f>
        <v>NIL</v>
      </c>
      <c r="N173" t="str">
        <f>"LOH SIEW WAI"</f>
        <v>LOH SIEW WAI</v>
      </c>
      <c r="O173" t="str">
        <f>"MAYBANK"</f>
        <v>MAYBANK</v>
      </c>
      <c r="P173" t="str">
        <f>"MBBEMYKL"</f>
        <v>MBBEMYKL</v>
      </c>
      <c r="Q173" t="str">
        <f t="shared" si="35"/>
        <v>NIL</v>
      </c>
      <c r="R173" t="str">
        <f>"NIL"</f>
        <v>NIL</v>
      </c>
      <c r="S173" t="str">
        <f>"iPAY to LOH SIEW WAI (MAYBANK: 106089234746)"</f>
        <v>iPAY to LOH SIEW WAI (MAYBANK: 106089234746)</v>
      </c>
      <c r="T173" t="str">
        <f t="shared" si="32"/>
        <v>2014-01-27</v>
      </c>
      <c r="U173" t="s">
        <v>34</v>
      </c>
      <c r="V173" t="str">
        <f>"System error"</f>
        <v>System error</v>
      </c>
      <c r="W173" t="str">
        <f>"NIL"</f>
        <v>NIL</v>
      </c>
      <c r="X173" t="str">
        <f t="shared" si="36"/>
        <v>219.93.33.173</v>
      </c>
    </row>
    <row r="174" spans="1:24">
      <c r="A174" t="s">
        <v>197</v>
      </c>
      <c r="B174" t="str">
        <f>"27/01/2014 11:59:56"</f>
        <v>27/01/2014 11:59:56</v>
      </c>
      <c r="C174" t="str">
        <f>"36413"</f>
        <v>36413</v>
      </c>
      <c r="D174" t="str">
        <f>"liyanaizyan"</f>
        <v>liyanaizyan</v>
      </c>
      <c r="E174" t="str">
        <f>"NURLIYANA IZYAN BINTI MAHAMOOD"</f>
        <v>NURLIYANA IZYAN BINTI MAHAMOOD</v>
      </c>
      <c r="F174" t="str">
        <f>"001103015397"</f>
        <v>001103015397</v>
      </c>
      <c r="G174" t="str">
        <f>"12038025418099"</f>
        <v>12038025418099</v>
      </c>
      <c r="H174" t="str">
        <f t="shared" si="37"/>
        <v>MYR</v>
      </c>
      <c r="I174" t="str">
        <f t="shared" si="37"/>
        <v>MYR</v>
      </c>
      <c r="J174" t="str">
        <f>"2012-02-08"</f>
        <v>2012-02-08</v>
      </c>
      <c r="K174" t="str">
        <f>"200.00"</f>
        <v>200.00</v>
      </c>
      <c r="L174" t="str">
        <f>"200.00"</f>
        <v>200.00</v>
      </c>
      <c r="M174" t="str">
        <f>"extra"</f>
        <v>extra</v>
      </c>
      <c r="N174" t="str">
        <f>"CIK NURLIYANA IZYAN BINTI"</f>
        <v>CIK NURLIYANA IZYAN BINTI</v>
      </c>
      <c r="O174" t="str">
        <f>"BANK ISLAM MALAYSIA BHD"</f>
        <v>BANK ISLAM MALAYSIA BHD</v>
      </c>
      <c r="P174" t="str">
        <f>"BIMBMYKL"</f>
        <v>BIMBMYKL</v>
      </c>
      <c r="Q174" t="str">
        <f t="shared" si="35"/>
        <v>NIL</v>
      </c>
      <c r="R174" t="str">
        <f>"nurliyana.izyan@kfh.com.my"</f>
        <v>nurliyana.izyan@kfh.com.my</v>
      </c>
      <c r="S174" t="str">
        <f>"iPAY to CIK NURLIYANA IZYAN BINTI (BANK ISLAM MALAYSIA BHD: 12038025418099) (Ref No: 270114158505)"</f>
        <v>iPAY to CIK NURLIYANA IZYAN BINTI (BANK ISLAM MALAYSIA BHD: 12038025418099) (Ref No: 270114158505)</v>
      </c>
      <c r="T174" t="str">
        <f t="shared" si="32"/>
        <v>2014-01-27</v>
      </c>
      <c r="U174" t="s">
        <v>32</v>
      </c>
      <c r="V174" t="str">
        <f>"Successful"</f>
        <v>Successful</v>
      </c>
      <c r="W174" t="str">
        <f>"270114158505"</f>
        <v>270114158505</v>
      </c>
      <c r="X174" t="str">
        <f t="shared" si="36"/>
        <v>219.93.33.173</v>
      </c>
    </row>
    <row r="175" spans="1:24">
      <c r="A175" t="s">
        <v>198</v>
      </c>
      <c r="B175" t="str">
        <f>"27/01/2014 12:00:11"</f>
        <v>27/01/2014 12:00:11</v>
      </c>
      <c r="C175" t="str">
        <f>"17103"</f>
        <v>17103</v>
      </c>
      <c r="D175" t="str">
        <f>"shinlu86"</f>
        <v>shinlu86</v>
      </c>
      <c r="E175" t="str">
        <f>"NG SHIN LU"</f>
        <v>NG SHIN LU</v>
      </c>
      <c r="F175" t="str">
        <f>"010103000655"</f>
        <v>010103000655</v>
      </c>
      <c r="G175" t="str">
        <f>"830594660090010"</f>
        <v>830594660090010</v>
      </c>
      <c r="H175" t="str">
        <f t="shared" si="37"/>
        <v>MYR</v>
      </c>
      <c r="I175" t="str">
        <f t="shared" si="37"/>
        <v>MYR</v>
      </c>
      <c r="J175" t="str">
        <f>"NIL"</f>
        <v>NIL</v>
      </c>
      <c r="K175" t="str">
        <f>"450.00"</f>
        <v>450.00</v>
      </c>
      <c r="L175" t="str">
        <f>"450.00"</f>
        <v>450.00</v>
      </c>
      <c r="M175" t="str">
        <f>"NIL"</f>
        <v>NIL</v>
      </c>
      <c r="N175" t="str">
        <f>"NG SHIN LU"</f>
        <v>NG SHIN LU</v>
      </c>
      <c r="O175" t="str">
        <f>"PUBLIC BANK"</f>
        <v>PUBLIC BANK</v>
      </c>
      <c r="P175" t="str">
        <f>"PBBEMYKL"</f>
        <v>PBBEMYKL</v>
      </c>
      <c r="Q175" t="str">
        <f t="shared" si="35"/>
        <v>NIL</v>
      </c>
      <c r="R175" t="str">
        <f>"NIL"</f>
        <v>NIL</v>
      </c>
      <c r="S175" t="str">
        <f>"iPAY to NG SHIN LU (PUBLIC BANK: 830594660090010)"</f>
        <v>iPAY to NG SHIN LU (PUBLIC BANK: 830594660090010)</v>
      </c>
      <c r="T175" t="str">
        <f t="shared" si="32"/>
        <v>2014-01-27</v>
      </c>
      <c r="U175" t="s">
        <v>34</v>
      </c>
      <c r="V175" t="str">
        <f>"System error"</f>
        <v>System error</v>
      </c>
      <c r="W175" t="str">
        <f>"NIL"</f>
        <v>NIL</v>
      </c>
      <c r="X175" t="str">
        <f t="shared" si="36"/>
        <v>219.93.33.173</v>
      </c>
    </row>
    <row r="176" spans="1:24">
      <c r="A176" t="s">
        <v>199</v>
      </c>
      <c r="B176" t="str">
        <f>"27/01/2014 12:01:01"</f>
        <v>27/01/2014 12:01:01</v>
      </c>
      <c r="C176" t="str">
        <f>"12333"</f>
        <v>12333</v>
      </c>
      <c r="D176" t="str">
        <f>"SZEFOON"</f>
        <v>SZEFOON</v>
      </c>
      <c r="E176" t="str">
        <f>"AW SZE FOON"</f>
        <v>AW SZE FOON</v>
      </c>
      <c r="F176" t="str">
        <f>"001102027100"</f>
        <v>001102027100</v>
      </c>
      <c r="G176" t="str">
        <f>"106089234746"</f>
        <v>106089234746</v>
      </c>
      <c r="H176" t="str">
        <f t="shared" si="37"/>
        <v>MYR</v>
      </c>
      <c r="I176" t="str">
        <f t="shared" si="37"/>
        <v>MYR</v>
      </c>
      <c r="J176" t="str">
        <f>"2011-06-01"</f>
        <v>2011-06-01</v>
      </c>
      <c r="K176" t="str">
        <f>"1000.00"</f>
        <v>1000.00</v>
      </c>
      <c r="L176" t="str">
        <f>"1000.00"</f>
        <v>1000.00</v>
      </c>
      <c r="M176" t="str">
        <f>"NIL"</f>
        <v>NIL</v>
      </c>
      <c r="N176" t="str">
        <f>"LOH SIEW WAI"</f>
        <v>LOH SIEW WAI</v>
      </c>
      <c r="O176" t="str">
        <f>"MAYBANK"</f>
        <v>MAYBANK</v>
      </c>
      <c r="P176" t="str">
        <f>"MBBEMYKL"</f>
        <v>MBBEMYKL</v>
      </c>
      <c r="Q176" t="str">
        <f t="shared" si="35"/>
        <v>NIL</v>
      </c>
      <c r="R176" t="str">
        <f>"NIL"</f>
        <v>NIL</v>
      </c>
      <c r="S176" t="str">
        <f>"iPAY to LOH SIEW WAI (MAYBANK: 106089234746) (Ref No: 270114158512)"</f>
        <v>iPAY to LOH SIEW WAI (MAYBANK: 106089234746) (Ref No: 270114158512)</v>
      </c>
      <c r="T176" t="str">
        <f t="shared" si="32"/>
        <v>2014-01-27</v>
      </c>
      <c r="U176" t="s">
        <v>32</v>
      </c>
      <c r="V176" t="str">
        <f>"Successful"</f>
        <v>Successful</v>
      </c>
      <c r="W176" t="str">
        <f>"270114158512"</f>
        <v>270114158512</v>
      </c>
      <c r="X176" t="str">
        <f t="shared" si="36"/>
        <v>219.93.33.173</v>
      </c>
    </row>
    <row r="177" spans="1:24">
      <c r="A177" t="s">
        <v>200</v>
      </c>
      <c r="B177" t="str">
        <f>"27/01/2014 12:01:21"</f>
        <v>27/01/2014 12:01:21</v>
      </c>
      <c r="C177" t="str">
        <f>"17103"</f>
        <v>17103</v>
      </c>
      <c r="D177" t="str">
        <f>"shinlu86"</f>
        <v>shinlu86</v>
      </c>
      <c r="E177" t="str">
        <f>"NG SHIN LU"</f>
        <v>NG SHIN LU</v>
      </c>
      <c r="F177" t="str">
        <f>"010103000655"</f>
        <v>010103000655</v>
      </c>
      <c r="G177" t="str">
        <f>"830594660090010"</f>
        <v>830594660090010</v>
      </c>
      <c r="H177" t="str">
        <f t="shared" si="37"/>
        <v>MYR</v>
      </c>
      <c r="I177" t="str">
        <f t="shared" si="37"/>
        <v>MYR</v>
      </c>
      <c r="J177" t="str">
        <f>"2011-08-09"</f>
        <v>2011-08-09</v>
      </c>
      <c r="K177" t="str">
        <f>"450.00"</f>
        <v>450.00</v>
      </c>
      <c r="L177" t="str">
        <f>"450.00"</f>
        <v>450.00</v>
      </c>
      <c r="M177" t="str">
        <f>"NIL"</f>
        <v>NIL</v>
      </c>
      <c r="N177" t="str">
        <f>"NG SHIN LU"</f>
        <v>NG SHIN LU</v>
      </c>
      <c r="O177" t="str">
        <f>"PUBLIC BANK"</f>
        <v>PUBLIC BANK</v>
      </c>
      <c r="P177" t="str">
        <f>"PBBEMYKL"</f>
        <v>PBBEMYKL</v>
      </c>
      <c r="Q177" t="str">
        <f t="shared" si="35"/>
        <v>NIL</v>
      </c>
      <c r="R177" t="str">
        <f>"NIL"</f>
        <v>NIL</v>
      </c>
      <c r="S177" t="str">
        <f>"iPAY to NG SHIN LU (PUBLIC BANK: 830594660090010) (Ref No: 270114158508)"</f>
        <v>iPAY to NG SHIN LU (PUBLIC BANK: 830594660090010) (Ref No: 270114158508)</v>
      </c>
      <c r="T177" t="str">
        <f t="shared" si="32"/>
        <v>2014-01-27</v>
      </c>
      <c r="U177" t="s">
        <v>32</v>
      </c>
      <c r="V177" t="str">
        <f>"Successful"</f>
        <v>Successful</v>
      </c>
      <c r="W177" t="str">
        <f>"270114158508"</f>
        <v>270114158508</v>
      </c>
      <c r="X177" t="str">
        <f t="shared" si="36"/>
        <v>219.93.33.173</v>
      </c>
    </row>
    <row r="178" spans="1:24">
      <c r="A178" t="s">
        <v>201</v>
      </c>
      <c r="B178" t="str">
        <f>"27/01/2014 12:04:12"</f>
        <v>27/01/2014 12:04:12</v>
      </c>
      <c r="C178" t="str">
        <f>"42111"</f>
        <v>42111</v>
      </c>
      <c r="D178" t="str">
        <f>"fathiah89"</f>
        <v>fathiah89</v>
      </c>
      <c r="E178" t="str">
        <f>"NURUL FATHIAH HANI BINTI RAHIM"</f>
        <v>NURUL FATHIAH HANI BINTI RAHIM</v>
      </c>
      <c r="F178" t="str">
        <f>"001103017977"</f>
        <v>001103017977</v>
      </c>
      <c r="G178" t="str">
        <f>"13110005531205"</f>
        <v>13110005531205</v>
      </c>
      <c r="H178" t="str">
        <f t="shared" si="37"/>
        <v>MYR</v>
      </c>
      <c r="I178" t="str">
        <f t="shared" si="37"/>
        <v>MYR</v>
      </c>
      <c r="J178" t="str">
        <f>"2012-06-15"</f>
        <v>2012-06-15</v>
      </c>
      <c r="K178" t="str">
        <f>"85.00"</f>
        <v>85.00</v>
      </c>
      <c r="L178" t="str">
        <f>"85.00"</f>
        <v>85.00</v>
      </c>
      <c r="M178" t="str">
        <f>"Belvya"</f>
        <v>Belvya</v>
      </c>
      <c r="N178" t="str">
        <f>"ROHAIDA"</f>
        <v>ROHAIDA</v>
      </c>
      <c r="O178" t="str">
        <f>"CIMB BANK"</f>
        <v>CIMB BANK</v>
      </c>
      <c r="P178" t="str">
        <f>"CIBBMYKL"</f>
        <v>CIBBMYKL</v>
      </c>
      <c r="Q178" t="str">
        <f t="shared" si="35"/>
        <v>NIL</v>
      </c>
      <c r="R178" t="str">
        <f>"NIL"</f>
        <v>NIL</v>
      </c>
      <c r="S178" t="str">
        <f>"iPAY to ROHAIDA (CIMB BANK: 13110005531205) (Ref No: 270114158519)"</f>
        <v>iPAY to ROHAIDA (CIMB BANK: 13110005531205) (Ref No: 270114158519)</v>
      </c>
      <c r="T178" t="str">
        <f t="shared" si="32"/>
        <v>2014-01-27</v>
      </c>
      <c r="U178" t="s">
        <v>32</v>
      </c>
      <c r="V178" t="str">
        <f>"Successful"</f>
        <v>Successful</v>
      </c>
      <c r="W178" t="str">
        <f>"270114158519"</f>
        <v>270114158519</v>
      </c>
      <c r="X178" t="str">
        <f t="shared" si="36"/>
        <v>219.93.33.173</v>
      </c>
    </row>
    <row r="179" spans="1:24">
      <c r="A179" t="s">
        <v>202</v>
      </c>
      <c r="B179" t="str">
        <f>"27/01/2014 12:05:41"</f>
        <v>27/01/2014 12:05:41</v>
      </c>
      <c r="C179" t="str">
        <f>"4792"</f>
        <v>4792</v>
      </c>
      <c r="D179" t="str">
        <f>"suhailah2405"</f>
        <v>suhailah2405</v>
      </c>
      <c r="E179" t="str">
        <f>"SUHAILAH BINTI MUSTAFA"</f>
        <v>SUHAILAH BINTI MUSTAFA</v>
      </c>
      <c r="F179" t="str">
        <f>"004102005579"</f>
        <v>004102005579</v>
      </c>
      <c r="G179" t="str">
        <f>"4570663798090400"</f>
        <v>4570663798090400</v>
      </c>
      <c r="H179" t="str">
        <f t="shared" si="37"/>
        <v>MYR</v>
      </c>
      <c r="I179" t="str">
        <f t="shared" si="37"/>
        <v>MYR</v>
      </c>
      <c r="J179" t="str">
        <f>"2009-08-04"</f>
        <v>2009-08-04</v>
      </c>
      <c r="K179" t="str">
        <f>"2500.00"</f>
        <v>2500.00</v>
      </c>
      <c r="L179" t="str">
        <f>"2500.00"</f>
        <v>2500.00</v>
      </c>
      <c r="M179" t="str">
        <f>"Feb"</f>
        <v>Feb</v>
      </c>
      <c r="N179" t="str">
        <f>"SUHAILAH BINTI"</f>
        <v>SUHAILAH BINTI</v>
      </c>
      <c r="O179" t="str">
        <f>"RHB BANK"</f>
        <v>RHB BANK</v>
      </c>
      <c r="P179" t="str">
        <f>"RHBBMYKL"</f>
        <v>RHBBMYKL</v>
      </c>
      <c r="Q179" t="str">
        <f t="shared" si="35"/>
        <v>NIL</v>
      </c>
      <c r="R179" t="str">
        <f>"suhaila400@yahoo.com"</f>
        <v>suhaila400@yahoo.com</v>
      </c>
      <c r="S179" t="str">
        <f>"iPAY to SUHAILAH BINTI (RHB BANK: 4570663798090400) (Ref No: 270114158516)"</f>
        <v>iPAY to SUHAILAH BINTI (RHB BANK: 4570663798090400) (Ref No: 270114158516)</v>
      </c>
      <c r="T179" t="str">
        <f t="shared" si="32"/>
        <v>2014-01-27</v>
      </c>
      <c r="U179" t="s">
        <v>32</v>
      </c>
      <c r="V179" t="str">
        <f>"Successful"</f>
        <v>Successful</v>
      </c>
      <c r="W179" t="str">
        <f>"270114158516"</f>
        <v>270114158516</v>
      </c>
      <c r="X179" t="str">
        <f t="shared" si="36"/>
        <v>219.93.33.173</v>
      </c>
    </row>
    <row r="180" spans="1:24">
      <c r="A180" t="s">
        <v>203</v>
      </c>
      <c r="B180" t="str">
        <f>"27/01/2014 12:06:13"</f>
        <v>27/01/2014 12:06:13</v>
      </c>
      <c r="C180" t="str">
        <f>"12240"</f>
        <v>12240</v>
      </c>
      <c r="D180" t="str">
        <f>"alkhansa87"</f>
        <v>alkhansa87</v>
      </c>
      <c r="E180" t="str">
        <f>"SHARIFAH KHANSA' BINTI SYED OMAR"</f>
        <v>SHARIFAH KHANSA' BINTI SYED OMAR</v>
      </c>
      <c r="F180" t="str">
        <f>"001102026902"</f>
        <v>001102026902</v>
      </c>
      <c r="G180" t="str">
        <f>"164726000160"</f>
        <v>164726000160</v>
      </c>
      <c r="H180" t="str">
        <f t="shared" si="37"/>
        <v>MYR</v>
      </c>
      <c r="I180" t="str">
        <f t="shared" si="37"/>
        <v>MYR</v>
      </c>
      <c r="J180" t="str">
        <f>"2011-05-30"</f>
        <v>2011-05-30</v>
      </c>
      <c r="K180" t="str">
        <f>"80.00"</f>
        <v>80.00</v>
      </c>
      <c r="L180" t="str">
        <f>"80.00"</f>
        <v>80.00</v>
      </c>
      <c r="M180" t="str">
        <f>"qaseh  gol"</f>
        <v>qaseh  gol</v>
      </c>
      <c r="N180" t="str">
        <f>"SHARIFAH FATIMATUZ Z"</f>
        <v>SHARIFAH FATIMATUZ Z</v>
      </c>
      <c r="O180" t="str">
        <f>"MAYBANK"</f>
        <v>MAYBANK</v>
      </c>
      <c r="P180" t="str">
        <f>"MBBEMYKL"</f>
        <v>MBBEMYKL</v>
      </c>
      <c r="Q180" t="str">
        <f t="shared" si="35"/>
        <v>NIL</v>
      </c>
      <c r="R180" t="str">
        <f>"khansaalattas@yahoo.com"</f>
        <v>khansaalattas@yahoo.com</v>
      </c>
      <c r="S180" t="str">
        <f>"iPAY to SHARIFAH FATIMATUZ Z (MAYBANK: 164726000160) (Ref No: 270114158525)"</f>
        <v>iPAY to SHARIFAH FATIMATUZ Z (MAYBANK: 164726000160) (Ref No: 270114158525)</v>
      </c>
      <c r="T180" t="str">
        <f t="shared" si="32"/>
        <v>2014-01-27</v>
      </c>
      <c r="U180" t="s">
        <v>32</v>
      </c>
      <c r="V180" t="str">
        <f>"Successful"</f>
        <v>Successful</v>
      </c>
      <c r="W180" t="str">
        <f>"270114158525"</f>
        <v>270114158525</v>
      </c>
      <c r="X180" t="str">
        <f t="shared" si="36"/>
        <v>219.93.33.173</v>
      </c>
    </row>
    <row r="181" spans="1:24">
      <c r="A181" t="s">
        <v>204</v>
      </c>
      <c r="B181" t="str">
        <f>"27/01/2014 12:08:21"</f>
        <v>27/01/2014 12:08:21</v>
      </c>
      <c r="C181" t="str">
        <f>"5720"</f>
        <v>5720</v>
      </c>
      <c r="D181" t="str">
        <f>"azimah"</f>
        <v>azimah</v>
      </c>
      <c r="E181" t="str">
        <f>"AZIMAH BINTI NAWABJAN"</f>
        <v>AZIMAH BINTI NAWABJAN</v>
      </c>
      <c r="F181" t="str">
        <f>"001103002538"</f>
        <v>001103002538</v>
      </c>
      <c r="G181" t="str">
        <f>"164182427893"</f>
        <v>164182427893</v>
      </c>
      <c r="H181" t="str">
        <f t="shared" si="37"/>
        <v>MYR</v>
      </c>
      <c r="I181" t="str">
        <f t="shared" si="37"/>
        <v>MYR</v>
      </c>
      <c r="J181" t="str">
        <f>"NIL"</f>
        <v>NIL</v>
      </c>
      <c r="K181" t="str">
        <f>"300.00"</f>
        <v>300.00</v>
      </c>
      <c r="L181" t="str">
        <f>"300.00"</f>
        <v>300.00</v>
      </c>
      <c r="M181" t="str">
        <f>"NIL"</f>
        <v>NIL</v>
      </c>
      <c r="N181" t="str">
        <f>"AZIMAH BINTI NAWABJA"</f>
        <v>AZIMAH BINTI NAWABJA</v>
      </c>
      <c r="O181" t="str">
        <f>"MAYBANK"</f>
        <v>MAYBANK</v>
      </c>
      <c r="P181" t="str">
        <f>"MBBEMYKL"</f>
        <v>MBBEMYKL</v>
      </c>
      <c r="Q181" t="str">
        <f t="shared" si="35"/>
        <v>NIL</v>
      </c>
      <c r="R181" t="str">
        <f>"zzimoon_s@yahoo.com.sg"</f>
        <v>zzimoon_s@yahoo.com.sg</v>
      </c>
      <c r="S181" t="str">
        <f>"iPAY to AZIMAH BINTI NAWABJA (MAYBANK: 164182427893)"</f>
        <v>iPAY to AZIMAH BINTI NAWABJA (MAYBANK: 164182427893)</v>
      </c>
      <c r="T181" t="str">
        <f t="shared" si="32"/>
        <v>2014-01-27</v>
      </c>
      <c r="U181" t="s">
        <v>34</v>
      </c>
      <c r="V181" t="str">
        <f>"System error"</f>
        <v>System error</v>
      </c>
      <c r="W181" t="str">
        <f>"NIL"</f>
        <v>NIL</v>
      </c>
      <c r="X181" t="str">
        <f t="shared" si="36"/>
        <v>219.93.33.173</v>
      </c>
    </row>
    <row r="182" spans="1:24">
      <c r="A182" t="s">
        <v>205</v>
      </c>
      <c r="B182" t="str">
        <f>"27/01/2014 12:08:59"</f>
        <v>27/01/2014 12:08:59</v>
      </c>
      <c r="C182" t="str">
        <f>"5720"</f>
        <v>5720</v>
      </c>
      <c r="D182" t="str">
        <f>"azimah"</f>
        <v>azimah</v>
      </c>
      <c r="E182" t="str">
        <f>"AZIMAH BINTI NAWABJAN"</f>
        <v>AZIMAH BINTI NAWABJAN</v>
      </c>
      <c r="F182" t="str">
        <f>"001103002538"</f>
        <v>001103002538</v>
      </c>
      <c r="G182" t="str">
        <f>"164182427893"</f>
        <v>164182427893</v>
      </c>
      <c r="H182" t="str">
        <f t="shared" si="37"/>
        <v>MYR</v>
      </c>
      <c r="I182" t="str">
        <f t="shared" si="37"/>
        <v>MYR</v>
      </c>
      <c r="J182" t="str">
        <f>"2009-12-11"</f>
        <v>2009-12-11</v>
      </c>
      <c r="K182" t="str">
        <f>"300.00"</f>
        <v>300.00</v>
      </c>
      <c r="L182" t="str">
        <f>"300.00"</f>
        <v>300.00</v>
      </c>
      <c r="M182" t="str">
        <f>"NIL"</f>
        <v>NIL</v>
      </c>
      <c r="N182" t="str">
        <f>"AZIMAH BINTI NAWABJA"</f>
        <v>AZIMAH BINTI NAWABJA</v>
      </c>
      <c r="O182" t="str">
        <f>"MAYBANK"</f>
        <v>MAYBANK</v>
      </c>
      <c r="P182" t="str">
        <f>"MBBEMYKL"</f>
        <v>MBBEMYKL</v>
      </c>
      <c r="Q182" t="str">
        <f t="shared" si="35"/>
        <v>NIL</v>
      </c>
      <c r="R182" t="str">
        <f>"zzimoon_s@yahoo.com.sg"</f>
        <v>zzimoon_s@yahoo.com.sg</v>
      </c>
      <c r="S182" t="str">
        <f>"iPAY to AZIMAH BINTI NAWABJA (MAYBANK: 164182427893) (Ref No: 270114158524)"</f>
        <v>iPAY to AZIMAH BINTI NAWABJA (MAYBANK: 164182427893) (Ref No: 270114158524)</v>
      </c>
      <c r="T182" t="str">
        <f t="shared" si="32"/>
        <v>2014-01-27</v>
      </c>
      <c r="U182" t="s">
        <v>32</v>
      </c>
      <c r="V182" t="str">
        <f>"Successful"</f>
        <v>Successful</v>
      </c>
      <c r="W182" t="str">
        <f>"270114158524"</f>
        <v>270114158524</v>
      </c>
      <c r="X182" t="str">
        <f t="shared" si="36"/>
        <v>219.93.33.173</v>
      </c>
    </row>
    <row r="183" spans="1:24">
      <c r="A183" t="s">
        <v>206</v>
      </c>
      <c r="B183" t="str">
        <f>"27/01/2014 12:14:28"</f>
        <v>27/01/2014 12:14:28</v>
      </c>
      <c r="C183" t="str">
        <f>"10911"</f>
        <v>10911</v>
      </c>
      <c r="D183" t="str">
        <f>"wpcashe5200"</f>
        <v>wpcashe5200</v>
      </c>
      <c r="E183" t="str">
        <f>"SYAHIDA BINTI SAMAD"</f>
        <v>SYAHIDA BINTI SAMAD</v>
      </c>
      <c r="F183" t="str">
        <f>"006103001018"</f>
        <v>006103001018</v>
      </c>
      <c r="G183" t="str">
        <f>"11806000005680"</f>
        <v>11806000005680</v>
      </c>
      <c r="H183" t="str">
        <f t="shared" si="37"/>
        <v>MYR</v>
      </c>
      <c r="I183" t="str">
        <f t="shared" si="37"/>
        <v>MYR</v>
      </c>
      <c r="J183" t="str">
        <f>"2011-04-21"</f>
        <v>2011-04-21</v>
      </c>
      <c r="K183" t="str">
        <f>"268.00"</f>
        <v>268.00</v>
      </c>
      <c r="L183" t="str">
        <f>"268.00"</f>
        <v>268.00</v>
      </c>
      <c r="M183" t="str">
        <f>"NIL"</f>
        <v>NIL</v>
      </c>
      <c r="N183" t="str">
        <f>"MOHAMAD SOFI"</f>
        <v>MOHAMAD SOFI</v>
      </c>
      <c r="O183" t="str">
        <f>"RHB BANK"</f>
        <v>RHB BANK</v>
      </c>
      <c r="P183" t="str">
        <f>"RHBBMYKL"</f>
        <v>RHBBMYKL</v>
      </c>
      <c r="Q183" t="str">
        <f t="shared" si="35"/>
        <v>NIL</v>
      </c>
      <c r="R183" t="str">
        <f>"sofea_8016@yahoo.com"</f>
        <v>sofea_8016@yahoo.com</v>
      </c>
      <c r="S183" t="str">
        <f>"iPAY to MOHAMAD SOFI (RHB BANK: 11806000005680) (Ref No: 270114158528)"</f>
        <v>iPAY to MOHAMAD SOFI (RHB BANK: 11806000005680) (Ref No: 270114158528)</v>
      </c>
      <c r="T183" t="str">
        <f t="shared" si="32"/>
        <v>2014-01-27</v>
      </c>
      <c r="U183" t="s">
        <v>32</v>
      </c>
      <c r="V183" t="str">
        <f>"Successful"</f>
        <v>Successful</v>
      </c>
      <c r="W183" t="str">
        <f>"270114158528"</f>
        <v>270114158528</v>
      </c>
      <c r="X183" t="str">
        <f>"210.195.104.52"</f>
        <v>210.195.104.52</v>
      </c>
    </row>
    <row r="184" spans="1:24">
      <c r="A184" t="s">
        <v>207</v>
      </c>
      <c r="B184" t="str">
        <f>"27/01/2014 12:15:40"</f>
        <v>27/01/2014 12:15:40</v>
      </c>
      <c r="C184" t="str">
        <f>"629"</f>
        <v>629</v>
      </c>
      <c r="D184" t="str">
        <f>"shaffekl02"</f>
        <v>shaffekl02</v>
      </c>
      <c r="E184" t="str">
        <f>"MOHD SHAFFE BIN MAJID"</f>
        <v>MOHD SHAFFE BIN MAJID</v>
      </c>
      <c r="F184" t="str">
        <f>"011020003511"</f>
        <v>011020003511</v>
      </c>
      <c r="G184" t="str">
        <f>"112174247063"</f>
        <v>112174247063</v>
      </c>
      <c r="H184" t="str">
        <f t="shared" si="37"/>
        <v>MYR</v>
      </c>
      <c r="I184" t="str">
        <f t="shared" si="37"/>
        <v>MYR</v>
      </c>
      <c r="J184" t="str">
        <f>"2006-11-06"</f>
        <v>2006-11-06</v>
      </c>
      <c r="K184" t="str">
        <f>"1500.00"</f>
        <v>1500.00</v>
      </c>
      <c r="L184" t="str">
        <f>"1500.00"</f>
        <v>1500.00</v>
      </c>
      <c r="M184" t="str">
        <f>"NIL"</f>
        <v>NIL</v>
      </c>
      <c r="N184" t="str">
        <f>"MOHD SHAFFE B MAJID"</f>
        <v>MOHD SHAFFE B MAJID</v>
      </c>
      <c r="O184" t="str">
        <f>"MAYBANK"</f>
        <v>MAYBANK</v>
      </c>
      <c r="P184" t="str">
        <f>"MBBEMYKL"</f>
        <v>MBBEMYKL</v>
      </c>
      <c r="Q184" t="str">
        <f t="shared" si="35"/>
        <v>NIL</v>
      </c>
      <c r="R184" t="str">
        <f>"NIL"</f>
        <v>NIL</v>
      </c>
      <c r="S184" t="str">
        <f>"iPAY to MOHD SHAFFE B MAJID (MAYBANK: 112174247063) (Ref No: 270114158531)"</f>
        <v>iPAY to MOHD SHAFFE B MAJID (MAYBANK: 112174247063) (Ref No: 270114158531)</v>
      </c>
      <c r="T184" t="str">
        <f t="shared" si="32"/>
        <v>2014-01-27</v>
      </c>
      <c r="U184" t="s">
        <v>32</v>
      </c>
      <c r="V184" t="str">
        <f>"Successful"</f>
        <v>Successful</v>
      </c>
      <c r="W184" t="str">
        <f>"270114158531"</f>
        <v>270114158531</v>
      </c>
      <c r="X184" t="str">
        <f t="shared" ref="X184:X191" si="38">"219.93.33.173"</f>
        <v>219.93.33.173</v>
      </c>
    </row>
    <row r="185" spans="1:24">
      <c r="A185" t="s">
        <v>208</v>
      </c>
      <c r="B185" t="str">
        <f>"27/01/2014 12:17:08"</f>
        <v>27/01/2014 12:17:08</v>
      </c>
      <c r="C185" t="str">
        <f>"10304"</f>
        <v>10304</v>
      </c>
      <c r="D185" t="str">
        <f>"hamri1406"</f>
        <v>hamri1406</v>
      </c>
      <c r="E185" t="str">
        <f>"HAMRI BIN TUAH"</f>
        <v>HAMRI BIN TUAH</v>
      </c>
      <c r="F185" t="str">
        <f>"001102024624"</f>
        <v>001102024624</v>
      </c>
      <c r="G185" t="str">
        <f>"14300093320523"</f>
        <v>14300093320523</v>
      </c>
      <c r="H185" t="str">
        <f t="shared" si="37"/>
        <v>MYR</v>
      </c>
      <c r="I185" t="str">
        <f t="shared" si="37"/>
        <v>MYR</v>
      </c>
      <c r="J185" t="str">
        <f>"2011-04-04"</f>
        <v>2011-04-04</v>
      </c>
      <c r="K185" t="str">
        <f>"2300.00"</f>
        <v>2300.00</v>
      </c>
      <c r="L185" t="str">
        <f>"2300.00"</f>
        <v>2300.00</v>
      </c>
      <c r="M185" t="str">
        <f>"fund transfer"</f>
        <v>fund transfer</v>
      </c>
      <c r="N185" t="str">
        <f>"HAMRI BIN TUA"</f>
        <v>HAMRI BIN TUA</v>
      </c>
      <c r="O185" t="str">
        <f>"CIMB BANK"</f>
        <v>CIMB BANK</v>
      </c>
      <c r="P185" t="str">
        <f>"CIBBMYKL"</f>
        <v>CIBBMYKL</v>
      </c>
      <c r="Q185" t="str">
        <f t="shared" si="35"/>
        <v>NIL</v>
      </c>
      <c r="R185" t="str">
        <f>"hamri.tuah@gmail.com"</f>
        <v>hamri.tuah@gmail.com</v>
      </c>
      <c r="S185" t="str">
        <f>"iPAY to HAMRI BIN TUA (CIMB BANK: 14300093320523) (Ref No: 270114158533)"</f>
        <v>iPAY to HAMRI BIN TUA (CIMB BANK: 14300093320523) (Ref No: 270114158533)</v>
      </c>
      <c r="T185" t="str">
        <f t="shared" si="32"/>
        <v>2014-01-27</v>
      </c>
      <c r="U185" t="s">
        <v>32</v>
      </c>
      <c r="V185" t="str">
        <f>"Successful"</f>
        <v>Successful</v>
      </c>
      <c r="W185" t="str">
        <f>"270114158533"</f>
        <v>270114158533</v>
      </c>
      <c r="X185" t="str">
        <f t="shared" si="38"/>
        <v>219.93.33.173</v>
      </c>
    </row>
    <row r="186" spans="1:24">
      <c r="A186" t="s">
        <v>209</v>
      </c>
      <c r="B186" t="str">
        <f>"27/01/2014 12:22:03"</f>
        <v>27/01/2014 12:22:03</v>
      </c>
      <c r="C186" t="str">
        <f>"1054"</f>
        <v>1054</v>
      </c>
      <c r="D186" t="str">
        <f>"fazlipang"</f>
        <v>fazlipang</v>
      </c>
      <c r="E186" t="str">
        <f>"MOHD FAZLI PANG BIN ABDULLAH"</f>
        <v>MOHD FAZLI PANG BIN ABDULLAH</v>
      </c>
      <c r="F186" t="str">
        <f>"003103000040"</f>
        <v>003103000040</v>
      </c>
      <c r="G186" t="str">
        <f>"514084053530"</f>
        <v>514084053530</v>
      </c>
      <c r="H186" t="str">
        <f t="shared" si="37"/>
        <v>MYR</v>
      </c>
      <c r="I186" t="str">
        <f t="shared" si="37"/>
        <v>MYR</v>
      </c>
      <c r="J186" t="str">
        <f>"2007-09-20"</f>
        <v>2007-09-20</v>
      </c>
      <c r="K186" t="str">
        <f>"50.00"</f>
        <v>50.00</v>
      </c>
      <c r="L186" t="str">
        <f>"50.00"</f>
        <v>50.00</v>
      </c>
      <c r="M186" t="str">
        <f>"NIL"</f>
        <v>NIL</v>
      </c>
      <c r="N186" t="str">
        <f>"PANG KIM HUAT@MOHD F"</f>
        <v>PANG KIM HUAT@MOHD F</v>
      </c>
      <c r="O186" t="str">
        <f>"MAYBANK"</f>
        <v>MAYBANK</v>
      </c>
      <c r="P186" t="str">
        <f>"MBBEMYKL"</f>
        <v>MBBEMYKL</v>
      </c>
      <c r="Q186" t="str">
        <f t="shared" si="35"/>
        <v>NIL</v>
      </c>
      <c r="R186" t="str">
        <f>"NIL"</f>
        <v>NIL</v>
      </c>
      <c r="S186" t="str">
        <f>"iPAY to PANG KIM HUAT@MOHD F (MAYBANK: 514084053530) (Ref No: 270114158536)"</f>
        <v>iPAY to PANG KIM HUAT@MOHD F (MAYBANK: 514084053530) (Ref No: 270114158536)</v>
      </c>
      <c r="T186" t="str">
        <f t="shared" si="32"/>
        <v>2014-01-27</v>
      </c>
      <c r="U186" t="s">
        <v>32</v>
      </c>
      <c r="V186" t="str">
        <f>"Successful"</f>
        <v>Successful</v>
      </c>
      <c r="W186" t="str">
        <f>"270114158536"</f>
        <v>270114158536</v>
      </c>
      <c r="X186" t="str">
        <f t="shared" si="38"/>
        <v>219.93.33.173</v>
      </c>
    </row>
    <row r="187" spans="1:24">
      <c r="A187" t="s">
        <v>210</v>
      </c>
      <c r="B187" t="str">
        <f>"27/01/2014 12:32:55"</f>
        <v>27/01/2014 12:32:55</v>
      </c>
      <c r="C187" t="str">
        <f>"6778"</f>
        <v>6778</v>
      </c>
      <c r="D187" t="str">
        <f>"marzita"</f>
        <v>marzita</v>
      </c>
      <c r="E187" t="str">
        <f>"MARZITA BT MOHD HASNOL"</f>
        <v>MARZITA BT MOHD HASNOL</v>
      </c>
      <c r="F187" t="str">
        <f>"001102017512"</f>
        <v>001102017512</v>
      </c>
      <c r="G187" t="str">
        <f>"114254140872"</f>
        <v>114254140872</v>
      </c>
      <c r="H187" t="str">
        <f t="shared" si="37"/>
        <v>MYR</v>
      </c>
      <c r="I187" t="str">
        <f t="shared" si="37"/>
        <v>MYR</v>
      </c>
      <c r="J187" t="str">
        <f>"NIL"</f>
        <v>NIL</v>
      </c>
      <c r="K187" t="str">
        <f>"560.00"</f>
        <v>560.00</v>
      </c>
      <c r="L187" t="str">
        <f>"560.00"</f>
        <v>560.00</v>
      </c>
      <c r="M187" t="str">
        <f>"Duit Gaji"</f>
        <v>Duit Gaji</v>
      </c>
      <c r="N187" t="str">
        <f>"MARZITA BINTI MOHD H"</f>
        <v>MARZITA BINTI MOHD H</v>
      </c>
      <c r="O187" t="str">
        <f>"MAYBANK"</f>
        <v>MAYBANK</v>
      </c>
      <c r="P187" t="str">
        <f>"MBBEMYKL"</f>
        <v>MBBEMYKL</v>
      </c>
      <c r="Q187" t="str">
        <f t="shared" si="35"/>
        <v>NIL</v>
      </c>
      <c r="R187" t="str">
        <f>"marzita.hasnol@kfh.com.my"</f>
        <v>marzita.hasnol@kfh.com.my</v>
      </c>
      <c r="S187" t="str">
        <f>"iPAY to MARZITA BINTI MOHD H (MAYBANK: 114254140872)"</f>
        <v>iPAY to MARZITA BINTI MOHD H (MAYBANK: 114254140872)</v>
      </c>
      <c r="T187" t="str">
        <f t="shared" si="32"/>
        <v>2014-01-27</v>
      </c>
      <c r="U187" t="s">
        <v>34</v>
      </c>
      <c r="V187" t="str">
        <f>"System error"</f>
        <v>System error</v>
      </c>
      <c r="W187" t="str">
        <f>"NIL"</f>
        <v>NIL</v>
      </c>
      <c r="X187" t="str">
        <f t="shared" si="38"/>
        <v>219.93.33.173</v>
      </c>
    </row>
    <row r="188" spans="1:24">
      <c r="A188" t="s">
        <v>211</v>
      </c>
      <c r="B188" t="str">
        <f>"27/01/2014 12:37:23"</f>
        <v>27/01/2014 12:37:23</v>
      </c>
      <c r="C188" t="str">
        <f>"10280"</f>
        <v>10280</v>
      </c>
      <c r="D188" t="str">
        <f>"zarir980627"</f>
        <v>zarir980627</v>
      </c>
      <c r="E188" t="str">
        <f>"ZARINA BINTI OSMAN"</f>
        <v>ZARINA BINTI OSMAN</v>
      </c>
      <c r="F188" t="str">
        <f>"001101000125"</f>
        <v>001101000125</v>
      </c>
      <c r="G188" t="str">
        <f>"21401360000387"</f>
        <v>21401360000387</v>
      </c>
      <c r="H188" t="str">
        <f t="shared" si="37"/>
        <v>MYR</v>
      </c>
      <c r="I188" t="str">
        <f t="shared" si="37"/>
        <v>MYR</v>
      </c>
      <c r="J188" t="str">
        <f>"2011-04-01"</f>
        <v>2011-04-01</v>
      </c>
      <c r="K188" t="str">
        <f>"3700.00"</f>
        <v>3700.00</v>
      </c>
      <c r="L188" t="str">
        <f>"3700.00"</f>
        <v>3700.00</v>
      </c>
      <c r="M188" t="str">
        <f>"bills"</f>
        <v>bills</v>
      </c>
      <c r="N188" t="str">
        <f>"ZARINA BINTI"</f>
        <v>ZARINA BINTI</v>
      </c>
      <c r="O188" t="str">
        <f>"RHB BANK"</f>
        <v>RHB BANK</v>
      </c>
      <c r="P188" t="str">
        <f>"RHBBMYKL"</f>
        <v>RHBBMYKL</v>
      </c>
      <c r="Q188" t="str">
        <f>"123"</f>
        <v>123</v>
      </c>
      <c r="R188" t="str">
        <f>"zarina.osman@kfh.com.my"</f>
        <v>zarina.osman@kfh.com.my</v>
      </c>
      <c r="S188" t="str">
        <f>"iPAY to ZARINA BINTI (RHB BANK: 21401360000387) (Ref No: 270114158540)"</f>
        <v>iPAY to ZARINA BINTI (RHB BANK: 21401360000387) (Ref No: 270114158540)</v>
      </c>
      <c r="T188" t="str">
        <f t="shared" si="32"/>
        <v>2014-01-27</v>
      </c>
      <c r="U188" t="s">
        <v>32</v>
      </c>
      <c r="V188" t="str">
        <f>"Successful"</f>
        <v>Successful</v>
      </c>
      <c r="W188" t="str">
        <f>"270114158540"</f>
        <v>270114158540</v>
      </c>
      <c r="X188" t="str">
        <f t="shared" si="38"/>
        <v>219.93.33.173</v>
      </c>
    </row>
    <row r="189" spans="1:24">
      <c r="A189" t="s">
        <v>212</v>
      </c>
      <c r="B189" t="str">
        <f>"27/01/2014 12:41:44"</f>
        <v>27/01/2014 12:41:44</v>
      </c>
      <c r="C189" t="str">
        <f>"10280"</f>
        <v>10280</v>
      </c>
      <c r="D189" t="str">
        <f>"zarir980627"</f>
        <v>zarir980627</v>
      </c>
      <c r="E189" t="str">
        <f>"ZARINA BINTI OSMAN"</f>
        <v>ZARINA BINTI OSMAN</v>
      </c>
      <c r="F189" t="str">
        <f>"001101000125"</f>
        <v>001101000125</v>
      </c>
      <c r="G189" t="str">
        <f>"4563773006730165"</f>
        <v>4563773006730165</v>
      </c>
      <c r="H189" t="str">
        <f t="shared" si="37"/>
        <v>MYR</v>
      </c>
      <c r="I189" t="str">
        <f t="shared" si="37"/>
        <v>MYR</v>
      </c>
      <c r="J189" t="str">
        <f>"NIL"</f>
        <v>NIL</v>
      </c>
      <c r="K189" t="str">
        <f>"1255.38"</f>
        <v>1255.38</v>
      </c>
      <c r="L189" t="str">
        <f>"1255.38"</f>
        <v>1255.38</v>
      </c>
      <c r="M189" t="str">
        <f>"bills"</f>
        <v>bills</v>
      </c>
      <c r="N189" t="str">
        <f>"ZARINA OSMAN"</f>
        <v>ZARINA OSMAN</v>
      </c>
      <c r="O189" t="str">
        <f>"CITIBANK"</f>
        <v>CITIBANK</v>
      </c>
      <c r="P189" t="str">
        <f>"CITIMYKL"</f>
        <v>CITIMYKL</v>
      </c>
      <c r="Q189" t="str">
        <f>"123"</f>
        <v>123</v>
      </c>
      <c r="R189" t="str">
        <f>"zarina.osman@kfh.com.my"</f>
        <v>zarina.osman@kfh.com.my</v>
      </c>
      <c r="S189" t="str">
        <f>"iPAY to ZARINA OSMAN (CITIBANK: 4563773006730165)"</f>
        <v>iPAY to ZARINA OSMAN (CITIBANK: 4563773006730165)</v>
      </c>
      <c r="T189" t="str">
        <f t="shared" si="32"/>
        <v>2014-01-27</v>
      </c>
      <c r="U189" t="s">
        <v>34</v>
      </c>
      <c r="V189" t="str">
        <f>"System error"</f>
        <v>System error</v>
      </c>
      <c r="W189" t="str">
        <f>"NIL"</f>
        <v>NIL</v>
      </c>
      <c r="X189" t="str">
        <f t="shared" si="38"/>
        <v>219.93.33.173</v>
      </c>
    </row>
    <row r="190" spans="1:24">
      <c r="A190" t="s">
        <v>213</v>
      </c>
      <c r="B190" t="str">
        <f>"27/01/2014 12:51:05"</f>
        <v>27/01/2014 12:51:05</v>
      </c>
      <c r="C190" t="str">
        <f>"1328"</f>
        <v>1328</v>
      </c>
      <c r="D190" t="str">
        <f>"surayaothman"</f>
        <v>surayaothman</v>
      </c>
      <c r="E190" t="str">
        <f>"SURAYA BINTI OTHMAN"</f>
        <v>SURAYA BINTI OTHMAN</v>
      </c>
      <c r="F190" t="str">
        <f>"001103001140"</f>
        <v>001103001140</v>
      </c>
      <c r="G190" t="str">
        <f>"158136739463"</f>
        <v>158136739463</v>
      </c>
      <c r="H190" t="str">
        <f t="shared" ref="H190:I209" si="39">"MYR"</f>
        <v>MYR</v>
      </c>
      <c r="I190" t="str">
        <f t="shared" si="39"/>
        <v>MYR</v>
      </c>
      <c r="J190" t="str">
        <f>"2008-01-08"</f>
        <v>2008-01-08</v>
      </c>
      <c r="K190" t="str">
        <f>"100.00"</f>
        <v>100.00</v>
      </c>
      <c r="L190" t="str">
        <f>"100.00"</f>
        <v>100.00</v>
      </c>
      <c r="M190" t="str">
        <f>"gas and food"</f>
        <v>gas and food</v>
      </c>
      <c r="N190" t="str">
        <f>"ROSLI BIN IBRAHIM"</f>
        <v>ROSLI BIN IBRAHIM</v>
      </c>
      <c r="O190" t="str">
        <f>"MAYBANK"</f>
        <v>MAYBANK</v>
      </c>
      <c r="P190" t="str">
        <f>"MBBEMYKL"</f>
        <v>MBBEMYKL</v>
      </c>
      <c r="Q190" t="str">
        <f>"JAN14"</f>
        <v>JAN14</v>
      </c>
      <c r="R190" t="str">
        <f>"suraya.othman@kfh.com.my"</f>
        <v>suraya.othman@kfh.com.my</v>
      </c>
      <c r="S190" t="str">
        <f>"iPAY to ROSLI BIN IBRAHIM (MAYBANK: 158136739463) (Ref No: 270114158548)"</f>
        <v>iPAY to ROSLI BIN IBRAHIM (MAYBANK: 158136739463) (Ref No: 270114158548)</v>
      </c>
      <c r="T190" t="str">
        <f t="shared" si="32"/>
        <v>2014-01-27</v>
      </c>
      <c r="U190" t="s">
        <v>32</v>
      </c>
      <c r="V190" t="str">
        <f>"Successful"</f>
        <v>Successful</v>
      </c>
      <c r="W190" t="str">
        <f>"270114158548"</f>
        <v>270114158548</v>
      </c>
      <c r="X190" t="str">
        <f t="shared" si="38"/>
        <v>219.93.33.173</v>
      </c>
    </row>
    <row r="191" spans="1:24">
      <c r="A191" t="s">
        <v>214</v>
      </c>
      <c r="B191" t="str">
        <f>"27/01/2014 12:55:11"</f>
        <v>27/01/2014 12:55:11</v>
      </c>
      <c r="C191" t="str">
        <f>"1328"</f>
        <v>1328</v>
      </c>
      <c r="D191" t="str">
        <f>"surayaothman"</f>
        <v>surayaothman</v>
      </c>
      <c r="E191" t="str">
        <f>"SURAYA BINTI OTHMAN"</f>
        <v>SURAYA BINTI OTHMAN</v>
      </c>
      <c r="F191" t="str">
        <f>"001103001140"</f>
        <v>001103001140</v>
      </c>
      <c r="G191" t="str">
        <f>"16418810003702"</f>
        <v>16418810003702</v>
      </c>
      <c r="H191" t="str">
        <f t="shared" si="39"/>
        <v>MYR</v>
      </c>
      <c r="I191" t="str">
        <f t="shared" si="39"/>
        <v>MYR</v>
      </c>
      <c r="J191" t="str">
        <f>"NIL"</f>
        <v>NIL</v>
      </c>
      <c r="K191" t="str">
        <f>"2300.00"</f>
        <v>2300.00</v>
      </c>
      <c r="L191" t="str">
        <f>"2300.00"</f>
        <v>2300.00</v>
      </c>
      <c r="M191" t="str">
        <f>"Direct Access"</f>
        <v>Direct Access</v>
      </c>
      <c r="N191" t="str">
        <f>"SURAYA OTHMAN"</f>
        <v>SURAYA OTHMAN</v>
      </c>
      <c r="O191" t="str">
        <f>"RHB BANK"</f>
        <v>RHB BANK</v>
      </c>
      <c r="P191" t="str">
        <f>"RHBBMYKL"</f>
        <v>RHBBMYKL</v>
      </c>
      <c r="Q191" t="str">
        <f>"Jan2014"</f>
        <v>Jan2014</v>
      </c>
      <c r="R191" t="str">
        <f>"suraya.othman@kfh.com.my"</f>
        <v>suraya.othman@kfh.com.my</v>
      </c>
      <c r="S191" t="str">
        <f>"iPAY to SURAYA OTHMAN (RHB BANK: 16418810003702)"</f>
        <v>iPAY to SURAYA OTHMAN (RHB BANK: 16418810003702)</v>
      </c>
      <c r="T191" t="str">
        <f t="shared" si="32"/>
        <v>2014-01-27</v>
      </c>
      <c r="U191" t="s">
        <v>34</v>
      </c>
      <c r="V191" t="str">
        <f>"System error"</f>
        <v>System error</v>
      </c>
      <c r="W191" t="str">
        <f>"NIL"</f>
        <v>NIL</v>
      </c>
      <c r="X191" t="str">
        <f t="shared" si="38"/>
        <v>219.93.33.173</v>
      </c>
    </row>
    <row r="192" spans="1:24">
      <c r="A192" t="s">
        <v>215</v>
      </c>
      <c r="B192" t="str">
        <f>"27/01/2014 12:55:31"</f>
        <v>27/01/2014 12:55:31</v>
      </c>
      <c r="C192" t="str">
        <f>"192"</f>
        <v>192</v>
      </c>
      <c r="D192" t="str">
        <f>"HafidzahAL"</f>
        <v>HafidzahAL</v>
      </c>
      <c r="E192" t="str">
        <f>"HAFIDZAH BINTI ABDUL LATIFF"</f>
        <v>HAFIDZAH BINTI ABDUL LATIFF</v>
      </c>
      <c r="F192" t="str">
        <f>"001140001219"</f>
        <v>001140001219</v>
      </c>
      <c r="G192" t="str">
        <f>"164557000367"</f>
        <v>164557000367</v>
      </c>
      <c r="H192" t="str">
        <f t="shared" si="39"/>
        <v>MYR</v>
      </c>
      <c r="I192" t="str">
        <f t="shared" si="39"/>
        <v>MYR</v>
      </c>
      <c r="J192" t="str">
        <f>"2013-05-07"</f>
        <v>2013-05-07</v>
      </c>
      <c r="K192" t="str">
        <f>"3000.00"</f>
        <v>3000.00</v>
      </c>
      <c r="L192" t="str">
        <f>"3000.00"</f>
        <v>3000.00</v>
      </c>
      <c r="M192" t="str">
        <f>"NIL"</f>
        <v>NIL</v>
      </c>
      <c r="N192" t="str">
        <f>"HAFIDZAH"</f>
        <v>HAFIDZAH</v>
      </c>
      <c r="O192" t="str">
        <f>"MAYBANK"</f>
        <v>MAYBANK</v>
      </c>
      <c r="P192" t="str">
        <f>"MBBEMYKL"</f>
        <v>MBBEMYKL</v>
      </c>
      <c r="Q192" t="str">
        <f>"NIL"</f>
        <v>NIL</v>
      </c>
      <c r="R192" t="str">
        <f>"NIL"</f>
        <v>NIL</v>
      </c>
      <c r="S192" t="str">
        <f>"iPAY to HAFIDZAH (MAYBANK: 164557000367) (Ref No: 270114158555)"</f>
        <v>iPAY to HAFIDZAH (MAYBANK: 164557000367) (Ref No: 270114158555)</v>
      </c>
      <c r="T192" t="str">
        <f t="shared" si="32"/>
        <v>2014-01-27</v>
      </c>
      <c r="U192" t="s">
        <v>32</v>
      </c>
      <c r="V192" t="str">
        <f>"Successful"</f>
        <v>Successful</v>
      </c>
      <c r="W192" t="str">
        <f>"270114158555"</f>
        <v>270114158555</v>
      </c>
      <c r="X192" t="str">
        <f>"60.52.5.116"</f>
        <v>60.52.5.116</v>
      </c>
    </row>
    <row r="193" spans="1:24">
      <c r="A193" t="s">
        <v>216</v>
      </c>
      <c r="B193" t="str">
        <f>"27/01/2014 12:57:52"</f>
        <v>27/01/2014 12:57:52</v>
      </c>
      <c r="C193" t="str">
        <f>"8293"</f>
        <v>8293</v>
      </c>
      <c r="D193" t="str">
        <f>"Lornie"</f>
        <v>Lornie</v>
      </c>
      <c r="E193" t="str">
        <f>"LIM LAW NEE"</f>
        <v>LIM LAW NEE</v>
      </c>
      <c r="F193" t="str">
        <f>"004102009396"</f>
        <v>004102009396</v>
      </c>
      <c r="G193" t="str">
        <f>"20114700018535"</f>
        <v>20114700018535</v>
      </c>
      <c r="H193" t="str">
        <f t="shared" si="39"/>
        <v>MYR</v>
      </c>
      <c r="I193" t="str">
        <f t="shared" si="39"/>
        <v>MYR</v>
      </c>
      <c r="J193" t="str">
        <f>"2010-11-26"</f>
        <v>2010-11-26</v>
      </c>
      <c r="K193" t="str">
        <f>"50.00"</f>
        <v>50.00</v>
      </c>
      <c r="L193" t="str">
        <f>"50.00"</f>
        <v>50.00</v>
      </c>
      <c r="M193" t="str">
        <f>"trf"</f>
        <v>trf</v>
      </c>
      <c r="N193" t="str">
        <f>"LIM LAW NEE"</f>
        <v>LIM LAW NEE</v>
      </c>
      <c r="O193" t="str">
        <f>"RHB BANK"</f>
        <v>RHB BANK</v>
      </c>
      <c r="P193" t="str">
        <f>"RHBBMYKL"</f>
        <v>RHBBMYKL</v>
      </c>
      <c r="Q193" t="str">
        <f>"NIL"</f>
        <v>NIL</v>
      </c>
      <c r="R193" t="str">
        <f>"lim.law.nee@kfh.com.my"</f>
        <v>lim.law.nee@kfh.com.my</v>
      </c>
      <c r="S193" t="str">
        <f>"iPAY to LIM LAW NEE (RHB BANK: 20114700018535) (Ref No: 270114158553)"</f>
        <v>iPAY to LIM LAW NEE (RHB BANK: 20114700018535) (Ref No: 270114158553)</v>
      </c>
      <c r="T193" t="str">
        <f t="shared" si="32"/>
        <v>2014-01-27</v>
      </c>
      <c r="U193" t="s">
        <v>32</v>
      </c>
      <c r="V193" t="str">
        <f>"Successful"</f>
        <v>Successful</v>
      </c>
      <c r="W193" t="str">
        <f>"270114158553"</f>
        <v>270114158553</v>
      </c>
      <c r="X193" t="str">
        <f t="shared" ref="X193:X223" si="40">"219.93.33.173"</f>
        <v>219.93.33.173</v>
      </c>
    </row>
    <row r="194" spans="1:24">
      <c r="A194" t="s">
        <v>217</v>
      </c>
      <c r="B194" t="str">
        <f>"27/01/2014 13:05:38"</f>
        <v>27/01/2014 13:05:38</v>
      </c>
      <c r="C194" t="str">
        <f>"8293"</f>
        <v>8293</v>
      </c>
      <c r="D194" t="str">
        <f>"Lornie"</f>
        <v>Lornie</v>
      </c>
      <c r="E194" t="str">
        <f>"LIM LAW NEE"</f>
        <v>LIM LAW NEE</v>
      </c>
      <c r="F194" t="str">
        <f>"004102009396"</f>
        <v>004102009396</v>
      </c>
      <c r="G194" t="str">
        <f>"011030020000975"</f>
        <v>011030020000975</v>
      </c>
      <c r="H194" t="str">
        <f t="shared" si="39"/>
        <v>MYR</v>
      </c>
      <c r="I194" t="str">
        <f t="shared" si="39"/>
        <v>MYR</v>
      </c>
      <c r="J194" t="str">
        <f>"NIL"</f>
        <v>NIL</v>
      </c>
      <c r="K194" t="str">
        <f>"2500.00"</f>
        <v>2500.00</v>
      </c>
      <c r="L194" t="str">
        <f>"2500.00"</f>
        <v>2500.00</v>
      </c>
      <c r="M194" t="str">
        <f>"TRF"</f>
        <v>TRF</v>
      </c>
      <c r="N194" t="str">
        <f>"LIM LAW NEE"</f>
        <v>LIM LAW NEE</v>
      </c>
      <c r="O194" t="str">
        <f>"ALLIANCE BANK"</f>
        <v>ALLIANCE BANK</v>
      </c>
      <c r="P194" t="str">
        <f>"MFBBMYKL"</f>
        <v>MFBBMYKL</v>
      </c>
      <c r="Q194" t="str">
        <f>"NIL"</f>
        <v>NIL</v>
      </c>
      <c r="R194" t="str">
        <f>"lim.law.nee@kfh.com.my"</f>
        <v>lim.law.nee@kfh.com.my</v>
      </c>
      <c r="S194" t="str">
        <f>"iPAY to LIM LAW NEE (ALLIANCE BANK: 011030020000975)"</f>
        <v>iPAY to LIM LAW NEE (ALLIANCE BANK: 011030020000975)</v>
      </c>
      <c r="T194" t="str">
        <f t="shared" si="32"/>
        <v>2014-01-27</v>
      </c>
      <c r="U194" t="s">
        <v>34</v>
      </c>
      <c r="V194" t="str">
        <f>"System error"</f>
        <v>System error</v>
      </c>
      <c r="W194" t="str">
        <f>"NIL"</f>
        <v>NIL</v>
      </c>
      <c r="X194" t="str">
        <f t="shared" si="40"/>
        <v>219.93.33.173</v>
      </c>
    </row>
    <row r="195" spans="1:24">
      <c r="A195" t="s">
        <v>218</v>
      </c>
      <c r="B195" t="str">
        <f>"27/01/2014 13:17:31"</f>
        <v>27/01/2014 13:17:31</v>
      </c>
      <c r="C195" t="str">
        <f>"43323"</f>
        <v>43323</v>
      </c>
      <c r="D195" t="str">
        <f>"teman28"</f>
        <v>teman28</v>
      </c>
      <c r="E195" t="str">
        <f>"OTHMAN BIN MOHAMAD"</f>
        <v>OTHMAN BIN MOHAMAD</v>
      </c>
      <c r="F195" t="str">
        <f>"002102024413"</f>
        <v>002102024413</v>
      </c>
      <c r="G195" t="str">
        <f>"103001881080622"</f>
        <v>103001881080622</v>
      </c>
      <c r="H195" t="str">
        <f t="shared" si="39"/>
        <v>MYR</v>
      </c>
      <c r="I195" t="str">
        <f t="shared" si="39"/>
        <v>MYR</v>
      </c>
      <c r="J195" t="str">
        <f>"2012-07-16"</f>
        <v>2012-07-16</v>
      </c>
      <c r="K195" t="str">
        <f>"343.00"</f>
        <v>343.00</v>
      </c>
      <c r="L195" t="str">
        <f>"343.00"</f>
        <v>343.00</v>
      </c>
      <c r="M195" t="str">
        <f>"PF ARB 2014"</f>
        <v>PF ARB 2014</v>
      </c>
      <c r="N195" t="str">
        <f>"OTHMAN BIN MOHAMAD"</f>
        <v>OTHMAN BIN MOHAMAD</v>
      </c>
      <c r="O195" t="str">
        <f>"AL-RAJHI BANK"</f>
        <v>AL-RAJHI BANK</v>
      </c>
      <c r="P195" t="str">
        <f>"RJHIMYKL"</f>
        <v>RJHIMYKL</v>
      </c>
      <c r="Q195" t="str">
        <f>"ARBFEB2014"</f>
        <v>ARBFEB2014</v>
      </c>
      <c r="R195" t="str">
        <f>"othman.mohamad7781@yahoo.com"</f>
        <v>othman.mohamad7781@yahoo.com</v>
      </c>
      <c r="S195" t="str">
        <f>"iPAY to OTHMAN BIN MOHAMAD (AL-RAJHI BANK: 103001881080622) (Ref No: 270114158560)"</f>
        <v>iPAY to OTHMAN BIN MOHAMAD (AL-RAJHI BANK: 103001881080622) (Ref No: 270114158560)</v>
      </c>
      <c r="T195" t="str">
        <f t="shared" si="32"/>
        <v>2014-01-27</v>
      </c>
      <c r="U195" t="s">
        <v>32</v>
      </c>
      <c r="V195" t="str">
        <f>"Successful"</f>
        <v>Successful</v>
      </c>
      <c r="W195" t="str">
        <f>"270114158560"</f>
        <v>270114158560</v>
      </c>
      <c r="X195" t="str">
        <f t="shared" si="40"/>
        <v>219.93.33.173</v>
      </c>
    </row>
    <row r="196" spans="1:24">
      <c r="A196" t="s">
        <v>219</v>
      </c>
      <c r="B196" t="str">
        <f>"27/01/2014 13:20:35"</f>
        <v>27/01/2014 13:20:35</v>
      </c>
      <c r="C196" t="str">
        <f>"31456"</f>
        <v>31456</v>
      </c>
      <c r="D196" t="str">
        <f>"eylia69"</f>
        <v>eylia69</v>
      </c>
      <c r="E196" t="str">
        <f>"EYLIA BINTI MISWAN"</f>
        <v>EYLIA BINTI MISWAN</v>
      </c>
      <c r="F196" t="str">
        <f>"001102030527"</f>
        <v>001102030527</v>
      </c>
      <c r="G196" t="str">
        <f>"108226069498"</f>
        <v>108226069498</v>
      </c>
      <c r="H196" t="str">
        <f t="shared" si="39"/>
        <v>MYR</v>
      </c>
      <c r="I196" t="str">
        <f t="shared" si="39"/>
        <v>MYR</v>
      </c>
      <c r="J196" t="str">
        <f>"NIL"</f>
        <v>NIL</v>
      </c>
      <c r="K196" t="str">
        <f>"20.00"</f>
        <v>20.00</v>
      </c>
      <c r="L196" t="str">
        <f>"20.00"</f>
        <v>20.00</v>
      </c>
      <c r="M196" t="str">
        <f>"Nasi 'Arab la"</f>
        <v>Nasi 'Arab la</v>
      </c>
      <c r="N196" t="str">
        <f>"ALIFF MASYHADI BIN M"</f>
        <v>ALIFF MASYHADI BIN M</v>
      </c>
      <c r="O196" t="str">
        <f>"MAYBANK"</f>
        <v>MAYBANK</v>
      </c>
      <c r="P196" t="str">
        <f>"MBBEMYKL"</f>
        <v>MBBEMYKL</v>
      </c>
      <c r="Q196" t="str">
        <f>"0122341985"</f>
        <v>0122341985</v>
      </c>
      <c r="R196" t="str">
        <f>"aliff_skebish16@yahoo.com"</f>
        <v>aliff_skebish16@yahoo.com</v>
      </c>
      <c r="S196" t="str">
        <f>"iPAY to ALIFF MASYHADI BIN M (MAYBANK: 108226069498)"</f>
        <v>iPAY to ALIFF MASYHADI BIN M (MAYBANK: 108226069498)</v>
      </c>
      <c r="T196" t="str">
        <f t="shared" si="32"/>
        <v>2014-01-27</v>
      </c>
      <c r="U196" t="s">
        <v>34</v>
      </c>
      <c r="V196" t="str">
        <f>"System error"</f>
        <v>System error</v>
      </c>
      <c r="W196" t="str">
        <f>"NIL"</f>
        <v>NIL</v>
      </c>
      <c r="X196" t="str">
        <f t="shared" si="40"/>
        <v>219.93.33.173</v>
      </c>
    </row>
    <row r="197" spans="1:24">
      <c r="A197" t="s">
        <v>220</v>
      </c>
      <c r="B197" t="str">
        <f>"27/01/2014 13:22:40"</f>
        <v>27/01/2014 13:22:40</v>
      </c>
      <c r="C197" t="str">
        <f>"2513"</f>
        <v>2513</v>
      </c>
      <c r="D197" t="str">
        <f>"nas001105009950"</f>
        <v>nas001105009950</v>
      </c>
      <c r="E197" t="str">
        <f>"NOOR AZLINA BINTI SHUIB"</f>
        <v>NOOR AZLINA BINTI SHUIB</v>
      </c>
      <c r="F197" t="str">
        <f>"001105009950"</f>
        <v>001105009950</v>
      </c>
      <c r="G197" t="str">
        <f>"14300080456528"</f>
        <v>14300080456528</v>
      </c>
      <c r="H197" t="str">
        <f t="shared" si="39"/>
        <v>MYR</v>
      </c>
      <c r="I197" t="str">
        <f t="shared" si="39"/>
        <v>MYR</v>
      </c>
      <c r="J197" t="str">
        <f>"2008-10-10"</f>
        <v>2008-10-10</v>
      </c>
      <c r="K197" t="str">
        <f>"300.00"</f>
        <v>300.00</v>
      </c>
      <c r="L197" t="str">
        <f>"300.00"</f>
        <v>300.00</v>
      </c>
      <c r="M197" t="str">
        <f>"2 cans alpha lipid"</f>
        <v>2 cans alpha lipid</v>
      </c>
      <c r="N197" t="str">
        <f>"JEFFREY"</f>
        <v>JEFFREY</v>
      </c>
      <c r="O197" t="str">
        <f>"CIMB BANK"</f>
        <v>CIMB BANK</v>
      </c>
      <c r="P197" t="str">
        <f>"CIBBMYKL"</f>
        <v>CIBBMYKL</v>
      </c>
      <c r="Q197" t="str">
        <f>"NIL"</f>
        <v>NIL</v>
      </c>
      <c r="R197" t="str">
        <f>"jeffreyarahman@gmail.com"</f>
        <v>jeffreyarahman@gmail.com</v>
      </c>
      <c r="S197" t="str">
        <f>"iPAY to JEFFREY (CIMB BANK: 14300080456528) (Ref No: 270114158567)"</f>
        <v>iPAY to JEFFREY (CIMB BANK: 14300080456528) (Ref No: 270114158567)</v>
      </c>
      <c r="T197" t="str">
        <f t="shared" si="32"/>
        <v>2014-01-27</v>
      </c>
      <c r="U197" t="s">
        <v>32</v>
      </c>
      <c r="V197" t="str">
        <f>"Successful"</f>
        <v>Successful</v>
      </c>
      <c r="W197" t="str">
        <f>"270114158567"</f>
        <v>270114158567</v>
      </c>
      <c r="X197" t="str">
        <f t="shared" si="40"/>
        <v>219.93.33.173</v>
      </c>
    </row>
    <row r="198" spans="1:24">
      <c r="A198" t="s">
        <v>221</v>
      </c>
      <c r="B198" t="str">
        <f>"27/01/2014 13:23:22"</f>
        <v>27/01/2014 13:23:22</v>
      </c>
      <c r="C198" t="str">
        <f>"2513"</f>
        <v>2513</v>
      </c>
      <c r="D198" t="str">
        <f>"nas001105009950"</f>
        <v>nas001105009950</v>
      </c>
      <c r="E198" t="str">
        <f>"NOOR AZLINA BINTI SHUIB"</f>
        <v>NOOR AZLINA BINTI SHUIB</v>
      </c>
      <c r="F198" t="str">
        <f>"001105009950"</f>
        <v>001105009950</v>
      </c>
      <c r="G198" t="str">
        <f>"26412400000229"</f>
        <v>26412400000229</v>
      </c>
      <c r="H198" t="str">
        <f t="shared" si="39"/>
        <v>MYR</v>
      </c>
      <c r="I198" t="str">
        <f t="shared" si="39"/>
        <v>MYR</v>
      </c>
      <c r="J198" t="str">
        <f>"NIL"</f>
        <v>NIL</v>
      </c>
      <c r="K198" t="str">
        <f>"100.00"</f>
        <v>100.00</v>
      </c>
      <c r="L198" t="str">
        <f>"100.00"</f>
        <v>100.00</v>
      </c>
      <c r="M198" t="str">
        <f>"kutu final"</f>
        <v>kutu final</v>
      </c>
      <c r="N198" t="str">
        <f>"NOR HAYATI A"</f>
        <v>NOR HAYATI A</v>
      </c>
      <c r="O198" t="str">
        <f>"RHB BANK"</f>
        <v>RHB BANK</v>
      </c>
      <c r="P198" t="str">
        <f>"RHBBMYKL"</f>
        <v>RHBBMYKL</v>
      </c>
      <c r="Q198" t="str">
        <f>"NIL"</f>
        <v>NIL</v>
      </c>
      <c r="R198" t="str">
        <f>"hayatihamid@gmail.com"</f>
        <v>hayatihamid@gmail.com</v>
      </c>
      <c r="S198" t="str">
        <f>"iPAY to NOR HAYATI A (RHB BANK: 26412400000229)"</f>
        <v>iPAY to NOR HAYATI A (RHB BANK: 26412400000229)</v>
      </c>
      <c r="T198" t="str">
        <f t="shared" si="32"/>
        <v>2014-01-27</v>
      </c>
      <c r="U198" t="s">
        <v>34</v>
      </c>
      <c r="V198" t="str">
        <f>"System error"</f>
        <v>System error</v>
      </c>
      <c r="W198" t="str">
        <f>"NIL"</f>
        <v>NIL</v>
      </c>
      <c r="X198" t="str">
        <f t="shared" si="40"/>
        <v>219.93.33.173</v>
      </c>
    </row>
    <row r="199" spans="1:24">
      <c r="A199" t="s">
        <v>222</v>
      </c>
      <c r="B199" t="str">
        <f>"27/01/2014 13:24:14"</f>
        <v>27/01/2014 13:24:14</v>
      </c>
      <c r="C199" t="str">
        <f>"2513"</f>
        <v>2513</v>
      </c>
      <c r="D199" t="str">
        <f>"nas001105009950"</f>
        <v>nas001105009950</v>
      </c>
      <c r="E199" t="str">
        <f>"NOOR AZLINA BINTI SHUIB"</f>
        <v>NOOR AZLINA BINTI SHUIB</v>
      </c>
      <c r="F199" t="str">
        <f>"001105009950"</f>
        <v>001105009950</v>
      </c>
      <c r="G199" t="str">
        <f>"1415929832268261"</f>
        <v>1415929832268261</v>
      </c>
      <c r="H199" t="str">
        <f t="shared" si="39"/>
        <v>MYR</v>
      </c>
      <c r="I199" t="str">
        <f t="shared" si="39"/>
        <v>MYR</v>
      </c>
      <c r="J199" t="str">
        <f>"NIL"</f>
        <v>NIL</v>
      </c>
      <c r="K199" t="str">
        <f>"100.00"</f>
        <v>100.00</v>
      </c>
      <c r="L199" t="str">
        <f>"100.00"</f>
        <v>100.00</v>
      </c>
      <c r="M199" t="str">
        <f>"mak"</f>
        <v>mak</v>
      </c>
      <c r="N199" t="str">
        <f>"SHARIFAH ANIM BINTI"</f>
        <v>SHARIFAH ANIM BINTI</v>
      </c>
      <c r="O199" t="str">
        <f>"BANK SIMPANAN NASIONAL"</f>
        <v>BANK SIMPANAN NASIONAL</v>
      </c>
      <c r="P199" t="str">
        <f>"BSNAMYKL"</f>
        <v>BSNAMYKL</v>
      </c>
      <c r="Q199" t="str">
        <f>"NIL"</f>
        <v>NIL</v>
      </c>
      <c r="R199" t="str">
        <f>"azlina.shuib@kfh.com.my"</f>
        <v>azlina.shuib@kfh.com.my</v>
      </c>
      <c r="S199" t="str">
        <f>"iPAY to SHARIFAH ANIM BINTI (BANK SIMPANAN NASIONAL: 1415929832268261)"</f>
        <v>iPAY to SHARIFAH ANIM BINTI (BANK SIMPANAN NASIONAL: 1415929832268261)</v>
      </c>
      <c r="T199" t="str">
        <f t="shared" si="32"/>
        <v>2014-01-27</v>
      </c>
      <c r="U199" t="s">
        <v>34</v>
      </c>
      <c r="V199" t="str">
        <f>"System error"</f>
        <v>System error</v>
      </c>
      <c r="W199" t="str">
        <f>"NIL"</f>
        <v>NIL</v>
      </c>
      <c r="X199" t="str">
        <f t="shared" si="40"/>
        <v>219.93.33.173</v>
      </c>
    </row>
    <row r="200" spans="1:24">
      <c r="A200" t="s">
        <v>223</v>
      </c>
      <c r="B200" t="str">
        <f>"27/01/2014 13:24:31"</f>
        <v>27/01/2014 13:24:31</v>
      </c>
      <c r="C200" t="str">
        <f>"31456"</f>
        <v>31456</v>
      </c>
      <c r="D200" t="str">
        <f>"eylia69"</f>
        <v>eylia69</v>
      </c>
      <c r="E200" t="str">
        <f>"EYLIA BINTI MISWAN"</f>
        <v>EYLIA BINTI MISWAN</v>
      </c>
      <c r="F200" t="str">
        <f>"001102030527"</f>
        <v>001102030527</v>
      </c>
      <c r="G200" t="str">
        <f>"108226069498"</f>
        <v>108226069498</v>
      </c>
      <c r="H200" t="str">
        <f t="shared" si="39"/>
        <v>MYR</v>
      </c>
      <c r="I200" t="str">
        <f t="shared" si="39"/>
        <v>MYR</v>
      </c>
      <c r="J200" t="str">
        <f>"2011-12-05"</f>
        <v>2011-12-05</v>
      </c>
      <c r="K200" t="str">
        <f>"20.00"</f>
        <v>20.00</v>
      </c>
      <c r="L200" t="str">
        <f>"20.00"</f>
        <v>20.00</v>
      </c>
      <c r="M200" t="str">
        <f>"Nasi Arab"</f>
        <v>Nasi Arab</v>
      </c>
      <c r="N200" t="str">
        <f>"ALIFF MASYHADI BIN M"</f>
        <v>ALIFF MASYHADI BIN M</v>
      </c>
      <c r="O200" t="str">
        <f>"MAYBANK"</f>
        <v>MAYBANK</v>
      </c>
      <c r="P200" t="str">
        <f>"MBBEMYKL"</f>
        <v>MBBEMYKL</v>
      </c>
      <c r="Q200" t="str">
        <f>"0122341985"</f>
        <v>0122341985</v>
      </c>
      <c r="R200" t="str">
        <f>"aliff_skebish16@yahoo.com"</f>
        <v>aliff_skebish16@yahoo.com</v>
      </c>
      <c r="S200" t="str">
        <f>"iPAY to ALIFF MASYHADI BIN M (MAYBANK: 108226069498) (Ref No: 270114158563)"</f>
        <v>iPAY to ALIFF MASYHADI BIN M (MAYBANK: 108226069498) (Ref No: 270114158563)</v>
      </c>
      <c r="T200" t="str">
        <f t="shared" si="32"/>
        <v>2014-01-27</v>
      </c>
      <c r="U200" t="s">
        <v>32</v>
      </c>
      <c r="V200" t="str">
        <f>"Successful"</f>
        <v>Successful</v>
      </c>
      <c r="W200" t="str">
        <f>"270114158563"</f>
        <v>270114158563</v>
      </c>
      <c r="X200" t="str">
        <f t="shared" si="40"/>
        <v>219.93.33.173</v>
      </c>
    </row>
    <row r="201" spans="1:24">
      <c r="A201" t="s">
        <v>224</v>
      </c>
      <c r="B201" t="str">
        <f>"27/01/2014 13:25:20"</f>
        <v>27/01/2014 13:25:20</v>
      </c>
      <c r="C201" t="str">
        <f>"536"</f>
        <v>536</v>
      </c>
      <c r="D201" t="str">
        <f>"nikkie1"</f>
        <v>nikkie1</v>
      </c>
      <c r="E201" t="str">
        <f>"NIK MAHERAN BINTI NIK MAT"</f>
        <v>NIK MAHERAN BINTI NIK MAT</v>
      </c>
      <c r="F201" t="str">
        <f>"011050003288"</f>
        <v>011050003288</v>
      </c>
      <c r="G201" t="str">
        <f>"0316771009"</f>
        <v>0316771009</v>
      </c>
      <c r="H201" t="str">
        <f t="shared" si="39"/>
        <v>MYR</v>
      </c>
      <c r="I201" t="str">
        <f t="shared" si="39"/>
        <v>MYR</v>
      </c>
      <c r="J201" t="str">
        <f>"NIL"</f>
        <v>NIL</v>
      </c>
      <c r="K201" t="str">
        <f>"3000.00"</f>
        <v>3000.00</v>
      </c>
      <c r="L201" t="str">
        <f>"3000.00"</f>
        <v>3000.00</v>
      </c>
      <c r="M201" t="str">
        <f>"NIL"</f>
        <v>NIL</v>
      </c>
      <c r="N201" t="str">
        <f>"NIK MAHERAN BINTI NIK MAT"</f>
        <v>NIK MAHERAN BINTI NIK MAT</v>
      </c>
      <c r="O201" t="str">
        <f>"CITIBANK"</f>
        <v>CITIBANK</v>
      </c>
      <c r="P201" t="str">
        <f>"CITIMYKL"</f>
        <v>CITIMYKL</v>
      </c>
      <c r="Q201" t="str">
        <f>"NIL"</f>
        <v>NIL</v>
      </c>
      <c r="R201" t="str">
        <f>"nik.maheran@kfh.com.my"</f>
        <v>nik.maheran@kfh.com.my</v>
      </c>
      <c r="S201" t="str">
        <f>"iPAY to NIK MAHERAN BINTI NIK MAT (CITIBANK: 0316771009)"</f>
        <v>iPAY to NIK MAHERAN BINTI NIK MAT (CITIBANK: 0316771009)</v>
      </c>
      <c r="T201" t="str">
        <f t="shared" si="32"/>
        <v>2014-01-27</v>
      </c>
      <c r="U201" t="s">
        <v>34</v>
      </c>
      <c r="V201" t="str">
        <f>"System error"</f>
        <v>System error</v>
      </c>
      <c r="W201" t="str">
        <f>"NIL"</f>
        <v>NIL</v>
      </c>
      <c r="X201" t="str">
        <f t="shared" si="40"/>
        <v>219.93.33.173</v>
      </c>
    </row>
    <row r="202" spans="1:24">
      <c r="A202" t="s">
        <v>225</v>
      </c>
      <c r="B202" t="str">
        <f>"27/01/2014 13:26:57"</f>
        <v>27/01/2014 13:26:57</v>
      </c>
      <c r="C202" t="str">
        <f>"536"</f>
        <v>536</v>
      </c>
      <c r="D202" t="str">
        <f>"nikkie1"</f>
        <v>nikkie1</v>
      </c>
      <c r="E202" t="str">
        <f>"NIK MAHERAN BINTI NIK MAT"</f>
        <v>NIK MAHERAN BINTI NIK MAT</v>
      </c>
      <c r="F202" t="str">
        <f>"011050003288"</f>
        <v>011050003288</v>
      </c>
      <c r="G202" t="str">
        <f>"0316771009"</f>
        <v>0316771009</v>
      </c>
      <c r="H202" t="str">
        <f t="shared" si="39"/>
        <v>MYR</v>
      </c>
      <c r="I202" t="str">
        <f t="shared" si="39"/>
        <v>MYR</v>
      </c>
      <c r="J202" t="str">
        <f>"2006-08-02"</f>
        <v>2006-08-02</v>
      </c>
      <c r="K202" t="str">
        <f>"5000.00"</f>
        <v>5000.00</v>
      </c>
      <c r="L202" t="str">
        <f>"5000.00"</f>
        <v>5000.00</v>
      </c>
      <c r="M202" t="str">
        <f>"NIL"</f>
        <v>NIL</v>
      </c>
      <c r="N202" t="str">
        <f>"NIK MAHERAN BINTI NIK MAT"</f>
        <v>NIK MAHERAN BINTI NIK MAT</v>
      </c>
      <c r="O202" t="str">
        <f>"CITIBANK"</f>
        <v>CITIBANK</v>
      </c>
      <c r="P202" t="str">
        <f>"CITIMYKL"</f>
        <v>CITIMYKL</v>
      </c>
      <c r="Q202" t="str">
        <f>"NIL"</f>
        <v>NIL</v>
      </c>
      <c r="R202" t="str">
        <f>"nik.maheran@kfh.com.my"</f>
        <v>nik.maheran@kfh.com.my</v>
      </c>
      <c r="S202" t="str">
        <f>"iPAY to NIK MAHERAN BINTI NIK MAT (CITIBANK: 0316771009) (Ref No: 270114158571)"</f>
        <v>iPAY to NIK MAHERAN BINTI NIK MAT (CITIBANK: 0316771009) (Ref No: 270114158571)</v>
      </c>
      <c r="T202" t="str">
        <f t="shared" ref="T202:T265" si="41">"2014-01-27"</f>
        <v>2014-01-27</v>
      </c>
      <c r="U202" t="s">
        <v>32</v>
      </c>
      <c r="V202" t="str">
        <f>"Successful"</f>
        <v>Successful</v>
      </c>
      <c r="W202" t="str">
        <f>"270114158571"</f>
        <v>270114158571</v>
      </c>
      <c r="X202" t="str">
        <f t="shared" si="40"/>
        <v>219.93.33.173</v>
      </c>
    </row>
    <row r="203" spans="1:24">
      <c r="A203" t="s">
        <v>226</v>
      </c>
      <c r="B203" t="str">
        <f>"27/01/2014 13:32:33"</f>
        <v>27/01/2014 13:32:33</v>
      </c>
      <c r="C203" t="str">
        <f>"46382"</f>
        <v>46382</v>
      </c>
      <c r="D203" t="str">
        <f>"1hera1"</f>
        <v>1hera1</v>
      </c>
      <c r="E203" t="str">
        <f>"HERAWATI BINTI HASNAN"</f>
        <v>HERAWATI BINTI HASNAN</v>
      </c>
      <c r="F203" t="str">
        <f>"001102037211"</f>
        <v>001102037211</v>
      </c>
      <c r="G203" t="str">
        <f>"14300084986526"</f>
        <v>14300084986526</v>
      </c>
      <c r="H203" t="str">
        <f t="shared" si="39"/>
        <v>MYR</v>
      </c>
      <c r="I203" t="str">
        <f t="shared" si="39"/>
        <v>MYR</v>
      </c>
      <c r="J203" t="str">
        <f>"2012-09-18"</f>
        <v>2012-09-18</v>
      </c>
      <c r="K203" t="str">
        <f>"3000.00"</f>
        <v>3000.00</v>
      </c>
      <c r="L203" t="str">
        <f>"3000.00"</f>
        <v>3000.00</v>
      </c>
      <c r="M203" t="str">
        <f>"NIL"</f>
        <v>NIL</v>
      </c>
      <c r="N203" t="str">
        <f>"HERAWATI"</f>
        <v>HERAWATI</v>
      </c>
      <c r="O203" t="str">
        <f>"CIMB BANK"</f>
        <v>CIMB BANK</v>
      </c>
      <c r="P203" t="str">
        <f>"CIBBMYKL"</f>
        <v>CIBBMYKL</v>
      </c>
      <c r="Q203" t="str">
        <f>"NIL"</f>
        <v>NIL</v>
      </c>
      <c r="R203" t="str">
        <f>"hera_hasnan@yahoo.com"</f>
        <v>hera_hasnan@yahoo.com</v>
      </c>
      <c r="S203" t="str">
        <f>"iPAY to HERAWATI (CIMB BANK: 14300084986526) (Ref No: 270114158575)"</f>
        <v>iPAY to HERAWATI (CIMB BANK: 14300084986526) (Ref No: 270114158575)</v>
      </c>
      <c r="T203" t="str">
        <f t="shared" si="41"/>
        <v>2014-01-27</v>
      </c>
      <c r="U203" t="s">
        <v>32</v>
      </c>
      <c r="V203" t="str">
        <f>"Successful"</f>
        <v>Successful</v>
      </c>
      <c r="W203" t="str">
        <f>"270114158575"</f>
        <v>270114158575</v>
      </c>
      <c r="X203" t="str">
        <f t="shared" si="40"/>
        <v>219.93.33.173</v>
      </c>
    </row>
    <row r="204" spans="1:24">
      <c r="A204" t="s">
        <v>227</v>
      </c>
      <c r="B204" t="str">
        <f>"27/01/2014 13:36:06"</f>
        <v>27/01/2014 13:36:06</v>
      </c>
      <c r="C204" t="str">
        <f>"3208"</f>
        <v>3208</v>
      </c>
      <c r="D204" t="str">
        <f>"lilychow"</f>
        <v>lilychow</v>
      </c>
      <c r="E204" t="str">
        <f>"CHOW LAI LAI"</f>
        <v>CHOW LAI LAI</v>
      </c>
      <c r="F204" t="str">
        <f>"001102011522"</f>
        <v>001102011522</v>
      </c>
      <c r="G204" t="str">
        <f>"5239450330241224"</f>
        <v>5239450330241224</v>
      </c>
      <c r="H204" t="str">
        <f t="shared" si="39"/>
        <v>MYR</v>
      </c>
      <c r="I204" t="str">
        <f t="shared" si="39"/>
        <v>MYR</v>
      </c>
      <c r="J204" t="str">
        <f>"NIL"</f>
        <v>NIL</v>
      </c>
      <c r="K204" t="str">
        <f>"1264.97"</f>
        <v>1264.97</v>
      </c>
      <c r="L204" t="str">
        <f>"1264.97"</f>
        <v>1264.97</v>
      </c>
      <c r="M204" t="str">
        <f>"MBB Cr card 0114"</f>
        <v>MBB Cr card 0114</v>
      </c>
      <c r="N204" t="str">
        <f>"LILY CHOW"</f>
        <v>LILY CHOW</v>
      </c>
      <c r="O204" t="str">
        <f>"MAYBANK"</f>
        <v>MAYBANK</v>
      </c>
      <c r="P204" t="str">
        <f>"MBBEMYKL"</f>
        <v>MBBEMYKL</v>
      </c>
      <c r="Q204" t="str">
        <f>"MBB Cr card 0114"</f>
        <v>MBB Cr card 0114</v>
      </c>
      <c r="R204" t="str">
        <f>"lilychow1311@gmail.com"</f>
        <v>lilychow1311@gmail.com</v>
      </c>
      <c r="S204" t="str">
        <f>"iPAY to LILY CHOW (MAYBANK: 5239450330241224)"</f>
        <v>iPAY to LILY CHOW (MAYBANK: 5239450330241224)</v>
      </c>
      <c r="T204" t="str">
        <f t="shared" si="41"/>
        <v>2014-01-27</v>
      </c>
      <c r="U204" t="s">
        <v>34</v>
      </c>
      <c r="V204" t="str">
        <f>"System error"</f>
        <v>System error</v>
      </c>
      <c r="W204" t="str">
        <f>"NIL"</f>
        <v>NIL</v>
      </c>
      <c r="X204" t="str">
        <f t="shared" si="40"/>
        <v>219.93.33.173</v>
      </c>
    </row>
    <row r="205" spans="1:24">
      <c r="A205" t="s">
        <v>228</v>
      </c>
      <c r="B205" t="str">
        <f>"27/01/2014 13:38:19"</f>
        <v>27/01/2014 13:38:19</v>
      </c>
      <c r="C205" t="str">
        <f>"3208"</f>
        <v>3208</v>
      </c>
      <c r="D205" t="str">
        <f>"lilychow"</f>
        <v>lilychow</v>
      </c>
      <c r="E205" t="str">
        <f>"CHOW LAI LAI"</f>
        <v>CHOW LAI LAI</v>
      </c>
      <c r="F205" t="str">
        <f>"001102011522"</f>
        <v>001102011522</v>
      </c>
      <c r="G205" t="str">
        <f>"5239450330241224"</f>
        <v>5239450330241224</v>
      </c>
      <c r="H205" t="str">
        <f t="shared" si="39"/>
        <v>MYR</v>
      </c>
      <c r="I205" t="str">
        <f t="shared" si="39"/>
        <v>MYR</v>
      </c>
      <c r="J205" t="str">
        <f>"2008-12-30"</f>
        <v>2008-12-30</v>
      </c>
      <c r="K205" t="str">
        <f>"1264.97"</f>
        <v>1264.97</v>
      </c>
      <c r="L205" t="str">
        <f>"1264.97"</f>
        <v>1264.97</v>
      </c>
      <c r="M205" t="str">
        <f>"MBB Cr card 0114"</f>
        <v>MBB Cr card 0114</v>
      </c>
      <c r="N205" t="str">
        <f>"LILY CHOW"</f>
        <v>LILY CHOW</v>
      </c>
      <c r="O205" t="str">
        <f>"MAYBANK"</f>
        <v>MAYBANK</v>
      </c>
      <c r="P205" t="str">
        <f>"MBBEMYKL"</f>
        <v>MBBEMYKL</v>
      </c>
      <c r="Q205" t="str">
        <f>"MBB Cr card 0114"</f>
        <v>MBB Cr card 0114</v>
      </c>
      <c r="R205" t="str">
        <f>"lilychow1311@gmail.com"</f>
        <v>lilychow1311@gmail.com</v>
      </c>
      <c r="S205" t="str">
        <f>"iPAY to LILY CHOW (MAYBANK: 5239450330241224) (Ref No: 270114158579)"</f>
        <v>iPAY to LILY CHOW (MAYBANK: 5239450330241224) (Ref No: 270114158579)</v>
      </c>
      <c r="T205" t="str">
        <f t="shared" si="41"/>
        <v>2014-01-27</v>
      </c>
      <c r="U205" t="s">
        <v>32</v>
      </c>
      <c r="V205" t="str">
        <f>"Successful"</f>
        <v>Successful</v>
      </c>
      <c r="W205" t="str">
        <f>"270114158579"</f>
        <v>270114158579</v>
      </c>
      <c r="X205" t="str">
        <f t="shared" si="40"/>
        <v>219.93.33.173</v>
      </c>
    </row>
    <row r="206" spans="1:24">
      <c r="A206" t="s">
        <v>229</v>
      </c>
      <c r="B206" t="str">
        <f>"27/01/2014 13:42:05"</f>
        <v>27/01/2014 13:42:05</v>
      </c>
      <c r="C206" t="str">
        <f>"3208"</f>
        <v>3208</v>
      </c>
      <c r="D206" t="str">
        <f>"lilychow"</f>
        <v>lilychow</v>
      </c>
      <c r="E206" t="str">
        <f>"CHOW LAI LAI"</f>
        <v>CHOW LAI LAI</v>
      </c>
      <c r="F206" t="str">
        <f>"001102011522"</f>
        <v>001102011522</v>
      </c>
      <c r="G206" t="str">
        <f>"379186130411572"</f>
        <v>379186130411572</v>
      </c>
      <c r="H206" t="str">
        <f t="shared" si="39"/>
        <v>MYR</v>
      </c>
      <c r="I206" t="str">
        <f t="shared" si="39"/>
        <v>MYR</v>
      </c>
      <c r="J206" t="str">
        <f>"2008-12-30"</f>
        <v>2008-12-30</v>
      </c>
      <c r="K206" t="str">
        <f>"561.36"</f>
        <v>561.36</v>
      </c>
      <c r="L206" t="str">
        <f>"561.36"</f>
        <v>561.36</v>
      </c>
      <c r="M206" t="str">
        <f>"MBB AMEX 0114"</f>
        <v>MBB AMEX 0114</v>
      </c>
      <c r="N206" t="str">
        <f>"LILY CHOW"</f>
        <v>LILY CHOW</v>
      </c>
      <c r="O206" t="str">
        <f>"MAYBANK"</f>
        <v>MAYBANK</v>
      </c>
      <c r="P206" t="str">
        <f>"MBBEMYKL"</f>
        <v>MBBEMYKL</v>
      </c>
      <c r="Q206" t="str">
        <f>"MBB AMEX 0114"</f>
        <v>MBB AMEX 0114</v>
      </c>
      <c r="R206" t="str">
        <f>"lilychow1311@gmail.com"</f>
        <v>lilychow1311@gmail.com</v>
      </c>
      <c r="S206" t="str">
        <f>"iPAY to LILY CHOW (MAYBANK: 379186130411572) (Ref No: 270114158584)"</f>
        <v>iPAY to LILY CHOW (MAYBANK: 379186130411572) (Ref No: 270114158584)</v>
      </c>
      <c r="T206" t="str">
        <f t="shared" si="41"/>
        <v>2014-01-27</v>
      </c>
      <c r="U206" t="s">
        <v>32</v>
      </c>
      <c r="V206" t="str">
        <f>"Successful"</f>
        <v>Successful</v>
      </c>
      <c r="W206" t="str">
        <f>"270114158584"</f>
        <v>270114158584</v>
      </c>
      <c r="X206" t="str">
        <f t="shared" si="40"/>
        <v>219.93.33.173</v>
      </c>
    </row>
    <row r="207" spans="1:24">
      <c r="A207" t="s">
        <v>230</v>
      </c>
      <c r="B207" t="str">
        <f>"27/01/2014 13:46:07"</f>
        <v>27/01/2014 13:46:07</v>
      </c>
      <c r="C207" t="str">
        <f>"3208"</f>
        <v>3208</v>
      </c>
      <c r="D207" t="str">
        <f>"lilychow"</f>
        <v>lilychow</v>
      </c>
      <c r="E207" t="str">
        <f>"CHOW LAI LAI"</f>
        <v>CHOW LAI LAI</v>
      </c>
      <c r="F207" t="str">
        <f>"001102011522"</f>
        <v>001102011522</v>
      </c>
      <c r="G207" t="str">
        <f>"34101002491"</f>
        <v>34101002491</v>
      </c>
      <c r="H207" t="str">
        <f t="shared" si="39"/>
        <v>MYR</v>
      </c>
      <c r="I207" t="str">
        <f t="shared" si="39"/>
        <v>MYR</v>
      </c>
      <c r="J207" t="str">
        <f>"NIL"</f>
        <v>NIL</v>
      </c>
      <c r="K207" t="str">
        <f>"1100.00"</f>
        <v>1100.00</v>
      </c>
      <c r="L207" t="str">
        <f>"1100.00"</f>
        <v>1100.00</v>
      </c>
      <c r="M207" t="str">
        <f>"HLBB HL0214"</f>
        <v>HLBB HL0214</v>
      </c>
      <c r="N207" t="str">
        <f>"CHOW LAI LAI"</f>
        <v>CHOW LAI LAI</v>
      </c>
      <c r="O207" t="str">
        <f>"HONG LEONG BANK"</f>
        <v>HONG LEONG BANK</v>
      </c>
      <c r="P207" t="str">
        <f>"HLBBMYKL"</f>
        <v>HLBBMYKL</v>
      </c>
      <c r="Q207" t="str">
        <f>"HLBB HL0214"</f>
        <v>HLBB HL0214</v>
      </c>
      <c r="R207" t="str">
        <f>"lilychow1311@gmail.com"</f>
        <v>lilychow1311@gmail.com</v>
      </c>
      <c r="S207" t="str">
        <f>"iPAY to CHOW LAI LAI (HONG LEONG BANK: 34101002491)"</f>
        <v>iPAY to CHOW LAI LAI (HONG LEONG BANK: 34101002491)</v>
      </c>
      <c r="T207" t="str">
        <f t="shared" si="41"/>
        <v>2014-01-27</v>
      </c>
      <c r="U207" t="s">
        <v>34</v>
      </c>
      <c r="V207" t="str">
        <f>"System error"</f>
        <v>System error</v>
      </c>
      <c r="W207" t="str">
        <f>"NIL"</f>
        <v>NIL</v>
      </c>
      <c r="X207" t="str">
        <f t="shared" si="40"/>
        <v>219.93.33.173</v>
      </c>
    </row>
    <row r="208" spans="1:24">
      <c r="A208" t="s">
        <v>231</v>
      </c>
      <c r="B208" t="str">
        <f>"27/01/2014 13:48:09"</f>
        <v>27/01/2014 13:48:09</v>
      </c>
      <c r="C208" t="str">
        <f>"3208"</f>
        <v>3208</v>
      </c>
      <c r="D208" t="str">
        <f>"lilychow"</f>
        <v>lilychow</v>
      </c>
      <c r="E208" t="str">
        <f>"CHOW LAI LAI"</f>
        <v>CHOW LAI LAI</v>
      </c>
      <c r="F208" t="str">
        <f>"001102011522"</f>
        <v>001102011522</v>
      </c>
      <c r="G208" t="str">
        <f>"34101002491"</f>
        <v>34101002491</v>
      </c>
      <c r="H208" t="str">
        <f t="shared" si="39"/>
        <v>MYR</v>
      </c>
      <c r="I208" t="str">
        <f t="shared" si="39"/>
        <v>MYR</v>
      </c>
      <c r="J208" t="str">
        <f>"2008-12-30"</f>
        <v>2008-12-30</v>
      </c>
      <c r="K208" t="str">
        <f>"1100.00"</f>
        <v>1100.00</v>
      </c>
      <c r="L208" t="str">
        <f>"1100.00"</f>
        <v>1100.00</v>
      </c>
      <c r="M208" t="str">
        <f>"HLBB HL0214"</f>
        <v>HLBB HL0214</v>
      </c>
      <c r="N208" t="str">
        <f>"CHOW LAI LAI"</f>
        <v>CHOW LAI LAI</v>
      </c>
      <c r="O208" t="str">
        <f>"HONG LEONG BANK"</f>
        <v>HONG LEONG BANK</v>
      </c>
      <c r="P208" t="str">
        <f>"HLBBMYKL"</f>
        <v>HLBBMYKL</v>
      </c>
      <c r="Q208" t="str">
        <f>"HLBB HL0214"</f>
        <v>HLBB HL0214</v>
      </c>
      <c r="R208" t="str">
        <f>"lilychow1311@gmail.com"</f>
        <v>lilychow1311@gmail.com</v>
      </c>
      <c r="S208" t="str">
        <f>"iPAY to CHOW LAI LAI (HONG LEONG BANK: 34101002491) (Ref No: 270114158592)"</f>
        <v>iPAY to CHOW LAI LAI (HONG LEONG BANK: 34101002491) (Ref No: 270114158592)</v>
      </c>
      <c r="T208" t="str">
        <f t="shared" si="41"/>
        <v>2014-01-27</v>
      </c>
      <c r="U208" t="s">
        <v>32</v>
      </c>
      <c r="V208" t="str">
        <f>"Successful"</f>
        <v>Successful</v>
      </c>
      <c r="W208" t="str">
        <f>"270114158592"</f>
        <v>270114158592</v>
      </c>
      <c r="X208" t="str">
        <f t="shared" si="40"/>
        <v>219.93.33.173</v>
      </c>
    </row>
    <row r="209" spans="1:24">
      <c r="A209" t="s">
        <v>232</v>
      </c>
      <c r="B209" t="str">
        <f>"27/01/2014 13:49:13"</f>
        <v>27/01/2014 13:49:13</v>
      </c>
      <c r="C209" t="str">
        <f>"801"</f>
        <v>801</v>
      </c>
      <c r="D209" t="str">
        <f>"chonnie97"</f>
        <v>chonnie97</v>
      </c>
      <c r="E209" t="str">
        <f>"FEISAL ZAIDAN BIN ALI"</f>
        <v>FEISAL ZAIDAN BIN ALI</v>
      </c>
      <c r="F209" t="str">
        <f>"011020004410"</f>
        <v>011020004410</v>
      </c>
      <c r="G209" t="str">
        <f>"162106468109"</f>
        <v>162106468109</v>
      </c>
      <c r="H209" t="str">
        <f t="shared" si="39"/>
        <v>MYR</v>
      </c>
      <c r="I209" t="str">
        <f t="shared" si="39"/>
        <v>MYR</v>
      </c>
      <c r="J209" t="str">
        <f>"NIL"</f>
        <v>NIL</v>
      </c>
      <c r="K209" t="str">
        <f>"300.00"</f>
        <v>300.00</v>
      </c>
      <c r="L209" t="str">
        <f>"300.00"</f>
        <v>300.00</v>
      </c>
      <c r="M209" t="str">
        <f>"NIL"</f>
        <v>NIL</v>
      </c>
      <c r="N209" t="str">
        <f>"FEISAL ZAIDAN BIN AL"</f>
        <v>FEISAL ZAIDAN BIN AL</v>
      </c>
      <c r="O209" t="str">
        <f>"MAYBANK"</f>
        <v>MAYBANK</v>
      </c>
      <c r="P209" t="str">
        <f>"MBBEMYKL"</f>
        <v>MBBEMYKL</v>
      </c>
      <c r="Q209" t="str">
        <f t="shared" ref="Q209:Q227" si="42">"NIL"</f>
        <v>NIL</v>
      </c>
      <c r="R209" t="str">
        <f>"feisal.zaidan@kfh.com.my"</f>
        <v>feisal.zaidan@kfh.com.my</v>
      </c>
      <c r="S209" t="str">
        <f>"iPAY to FEISAL ZAIDAN BIN AL (MAYBANK: 162106468109)"</f>
        <v>iPAY to FEISAL ZAIDAN BIN AL (MAYBANK: 162106468109)</v>
      </c>
      <c r="T209" t="str">
        <f t="shared" si="41"/>
        <v>2014-01-27</v>
      </c>
      <c r="U209" t="s">
        <v>34</v>
      </c>
      <c r="V209" t="str">
        <f>"System error"</f>
        <v>System error</v>
      </c>
      <c r="W209" t="str">
        <f>"NIL"</f>
        <v>NIL</v>
      </c>
      <c r="X209" t="str">
        <f t="shared" si="40"/>
        <v>219.93.33.173</v>
      </c>
    </row>
    <row r="210" spans="1:24">
      <c r="A210" t="s">
        <v>233</v>
      </c>
      <c r="B210" t="str">
        <f>"27/01/2014 13:49:51"</f>
        <v>27/01/2014 13:49:51</v>
      </c>
      <c r="C210" t="str">
        <f>"801"</f>
        <v>801</v>
      </c>
      <c r="D210" t="str">
        <f>"chonnie97"</f>
        <v>chonnie97</v>
      </c>
      <c r="E210" t="str">
        <f>"FEISAL ZAIDAN BIN ALI"</f>
        <v>FEISAL ZAIDAN BIN ALI</v>
      </c>
      <c r="F210" t="str">
        <f>"011020004410"</f>
        <v>011020004410</v>
      </c>
      <c r="G210" t="str">
        <f>"162106468109"</f>
        <v>162106468109</v>
      </c>
      <c r="H210" t="str">
        <f t="shared" ref="H210:I229" si="43">"MYR"</f>
        <v>MYR</v>
      </c>
      <c r="I210" t="str">
        <f t="shared" si="43"/>
        <v>MYR</v>
      </c>
      <c r="J210" t="str">
        <f>"NIL"</f>
        <v>NIL</v>
      </c>
      <c r="K210" t="str">
        <f>"300.00"</f>
        <v>300.00</v>
      </c>
      <c r="L210" t="str">
        <f>"300.00"</f>
        <v>300.00</v>
      </c>
      <c r="M210" t="str">
        <f>"NIL"</f>
        <v>NIL</v>
      </c>
      <c r="N210" t="str">
        <f>"FEISAL ZAIDAN BIN AL"</f>
        <v>FEISAL ZAIDAN BIN AL</v>
      </c>
      <c r="O210" t="str">
        <f>"MAYBANK"</f>
        <v>MAYBANK</v>
      </c>
      <c r="P210" t="str">
        <f>"MBBEMYKL"</f>
        <v>MBBEMYKL</v>
      </c>
      <c r="Q210" t="str">
        <f t="shared" si="42"/>
        <v>NIL</v>
      </c>
      <c r="R210" t="str">
        <f>"feisal.zaidan@kfh.com.my"</f>
        <v>feisal.zaidan@kfh.com.my</v>
      </c>
      <c r="S210" t="str">
        <f>"iPAY to FEISAL ZAIDAN BIN AL (MAYBANK: 162106468109)"</f>
        <v>iPAY to FEISAL ZAIDAN BIN AL (MAYBANK: 162106468109)</v>
      </c>
      <c r="T210" t="str">
        <f t="shared" si="41"/>
        <v>2014-01-27</v>
      </c>
      <c r="U210" t="s">
        <v>34</v>
      </c>
      <c r="V210" t="str">
        <f>"System error"</f>
        <v>System error</v>
      </c>
      <c r="W210" t="str">
        <f>"NIL"</f>
        <v>NIL</v>
      </c>
      <c r="X210" t="str">
        <f t="shared" si="40"/>
        <v>219.93.33.173</v>
      </c>
    </row>
    <row r="211" spans="1:24">
      <c r="A211" t="s">
        <v>234</v>
      </c>
      <c r="B211" t="str">
        <f>"27/01/2014 13:50:13"</f>
        <v>27/01/2014 13:50:13</v>
      </c>
      <c r="C211" t="str">
        <f>"1040"</f>
        <v>1040</v>
      </c>
      <c r="D211" t="str">
        <f>"farah05"</f>
        <v>farah05</v>
      </c>
      <c r="E211" t="str">
        <f>"FARAHWAHIDA BINTI NASIR MOHAMAD"</f>
        <v>FARAHWAHIDA BINTI NASIR MOHAMAD</v>
      </c>
      <c r="F211" t="str">
        <f>"001103000179"</f>
        <v>001103000179</v>
      </c>
      <c r="G211" t="str">
        <f>"077007771108"</f>
        <v>077007771108</v>
      </c>
      <c r="H211" t="str">
        <f t="shared" si="43"/>
        <v>MYR</v>
      </c>
      <c r="I211" t="str">
        <f t="shared" si="43"/>
        <v>MYR</v>
      </c>
      <c r="J211" t="str">
        <f>"2007-09-13"</f>
        <v>2007-09-13</v>
      </c>
      <c r="K211" t="str">
        <f>"220.00"</f>
        <v>220.00</v>
      </c>
      <c r="L211" t="str">
        <f>"220.00"</f>
        <v>220.00</v>
      </c>
      <c r="M211" t="str">
        <f>"NIL"</f>
        <v>NIL</v>
      </c>
      <c r="N211" t="str">
        <f>"FARAHWAHIDA BINTI NASIR MO"</f>
        <v>FARAHWAHIDA BINTI NASIR MO</v>
      </c>
      <c r="O211" t="str">
        <f>"HSBC BANK / HSBC AMANAH"</f>
        <v>HSBC BANK / HSBC AMANAH</v>
      </c>
      <c r="P211" t="str">
        <f>"HBMBMYKL"</f>
        <v>HBMBMYKL</v>
      </c>
      <c r="Q211" t="str">
        <f t="shared" si="42"/>
        <v>NIL</v>
      </c>
      <c r="R211" t="str">
        <f>"farahwahida.nasir@kfh.com.my"</f>
        <v>farahwahida.nasir@kfh.com.my</v>
      </c>
      <c r="S211" t="str">
        <f>"iPAY to FARAHWAHIDA BINTI NASIR MO (HSBC BANK / HSBC AMANAH: 077007771108) (Ref No: 270114158599)"</f>
        <v>iPAY to FARAHWAHIDA BINTI NASIR MO (HSBC BANK / HSBC AMANAH: 077007771108) (Ref No: 270114158599)</v>
      </c>
      <c r="T211" t="str">
        <f t="shared" si="41"/>
        <v>2014-01-27</v>
      </c>
      <c r="U211" t="s">
        <v>32</v>
      </c>
      <c r="V211" t="str">
        <f>"Successful"</f>
        <v>Successful</v>
      </c>
      <c r="W211" t="str">
        <f>"270114158599"</f>
        <v>270114158599</v>
      </c>
      <c r="X211" t="str">
        <f t="shared" si="40"/>
        <v>219.93.33.173</v>
      </c>
    </row>
    <row r="212" spans="1:24">
      <c r="A212" t="s">
        <v>235</v>
      </c>
      <c r="B212" t="str">
        <f>"27/01/2014 13:51:05"</f>
        <v>27/01/2014 13:51:05</v>
      </c>
      <c r="C212" t="str">
        <f>"-"</f>
        <v>-</v>
      </c>
      <c r="D212" t="str">
        <f>"RADINA12"</f>
        <v>RADINA12</v>
      </c>
      <c r="E212" t="str">
        <f>"NOOR AZRIZA BINTI MOHAMMED NOOR"</f>
        <v>NOOR AZRIZA BINTI MOHAMMED NOOR</v>
      </c>
      <c r="F212" t="str">
        <f>"001102026546"</f>
        <v>001102026546</v>
      </c>
      <c r="G212" t="str">
        <f>"108010493806"</f>
        <v>108010493806</v>
      </c>
      <c r="H212" t="str">
        <f t="shared" si="43"/>
        <v>MYR</v>
      </c>
      <c r="I212" t="str">
        <f t="shared" si="43"/>
        <v>MYR</v>
      </c>
      <c r="J212" t="str">
        <f>"2011-05-18"</f>
        <v>2011-05-18</v>
      </c>
      <c r="K212" t="str">
        <f>"50.00"</f>
        <v>50.00</v>
      </c>
      <c r="L212" t="str">
        <f>"50.00"</f>
        <v>50.00</v>
      </c>
      <c r="M212" t="str">
        <f>"NIL"</f>
        <v>NIL</v>
      </c>
      <c r="N212" t="str">
        <f>"NORHIDZAM MD NOOR"</f>
        <v>NORHIDZAM MD NOOR</v>
      </c>
      <c r="O212" t="str">
        <f>"MAYBANK"</f>
        <v>MAYBANK</v>
      </c>
      <c r="P212" t="str">
        <f>"MBBEMYKL"</f>
        <v>MBBEMYKL</v>
      </c>
      <c r="Q212" t="str">
        <f t="shared" si="42"/>
        <v>NIL</v>
      </c>
      <c r="R212" t="str">
        <f>"NIL"</f>
        <v>NIL</v>
      </c>
      <c r="S212" t="str">
        <f>"iPAY to NORHIDZAM MD NOOR (MAYBANK: 108010493806) (Ref No: 270114158593)"</f>
        <v>iPAY to NORHIDZAM MD NOOR (MAYBANK: 108010493806) (Ref No: 270114158593)</v>
      </c>
      <c r="T212" t="str">
        <f t="shared" si="41"/>
        <v>2014-01-27</v>
      </c>
      <c r="U212" t="s">
        <v>32</v>
      </c>
      <c r="V212" t="str">
        <f>"Successful"</f>
        <v>Successful</v>
      </c>
      <c r="W212" t="str">
        <f>"270114158593"</f>
        <v>270114158593</v>
      </c>
      <c r="X212" t="str">
        <f t="shared" si="40"/>
        <v>219.93.33.173</v>
      </c>
    </row>
    <row r="213" spans="1:24">
      <c r="A213" t="s">
        <v>236</v>
      </c>
      <c r="B213" t="str">
        <f>"27/01/2014 13:52:15"</f>
        <v>27/01/2014 13:52:15</v>
      </c>
      <c r="C213" t="str">
        <f>"27172"</f>
        <v>27172</v>
      </c>
      <c r="D213" t="str">
        <f>"gdnoidayah"</f>
        <v>gdnoidayah</v>
      </c>
      <c r="E213" t="str">
        <f>"NORUL HIDAYAH BT ABDUL KADIR"</f>
        <v>NORUL HIDAYAH BT ABDUL KADIR</v>
      </c>
      <c r="F213" t="str">
        <f>"001103013734"</f>
        <v>001103013734</v>
      </c>
      <c r="G213" t="str">
        <f>"12051368135523"</f>
        <v>12051368135523</v>
      </c>
      <c r="H213" t="str">
        <f t="shared" si="43"/>
        <v>MYR</v>
      </c>
      <c r="I213" t="str">
        <f t="shared" si="43"/>
        <v>MYR</v>
      </c>
      <c r="J213" t="str">
        <f>"2011-11-01"</f>
        <v>2011-11-01</v>
      </c>
      <c r="K213" t="str">
        <f>"300.00"</f>
        <v>300.00</v>
      </c>
      <c r="L213" t="str">
        <f>"300.00"</f>
        <v>300.00</v>
      </c>
      <c r="M213" t="str">
        <f>"loanamir"</f>
        <v>loanamir</v>
      </c>
      <c r="N213" t="str">
        <f>"AMIR BIN ABDU"</f>
        <v>AMIR BIN ABDU</v>
      </c>
      <c r="O213" t="str">
        <f>"CIMB BANK"</f>
        <v>CIMB BANK</v>
      </c>
      <c r="P213" t="str">
        <f>"CIBBMYKL"</f>
        <v>CIBBMYKL</v>
      </c>
      <c r="Q213" t="str">
        <f t="shared" si="42"/>
        <v>NIL</v>
      </c>
      <c r="R213" t="str">
        <f>"hidayahnorul@yahoo.com"</f>
        <v>hidayahnorul@yahoo.com</v>
      </c>
      <c r="S213" t="str">
        <f>"iPAY to AMIR BIN ABDU (CIMB BANK: 12051368135523) (Ref No: 270114158603)"</f>
        <v>iPAY to AMIR BIN ABDU (CIMB BANK: 12051368135523) (Ref No: 270114158603)</v>
      </c>
      <c r="T213" t="str">
        <f t="shared" si="41"/>
        <v>2014-01-27</v>
      </c>
      <c r="U213" t="s">
        <v>32</v>
      </c>
      <c r="V213" t="str">
        <f>"Successful"</f>
        <v>Successful</v>
      </c>
      <c r="W213" t="str">
        <f>"270114158603"</f>
        <v>270114158603</v>
      </c>
      <c r="X213" t="str">
        <f t="shared" si="40"/>
        <v>219.93.33.173</v>
      </c>
    </row>
    <row r="214" spans="1:24">
      <c r="A214" t="s">
        <v>237</v>
      </c>
      <c r="B214" t="str">
        <f>"27/01/2014 13:52:44"</f>
        <v>27/01/2014 13:52:44</v>
      </c>
      <c r="C214" t="str">
        <f>"801"</f>
        <v>801</v>
      </c>
      <c r="D214" t="str">
        <f>"chonnie97"</f>
        <v>chonnie97</v>
      </c>
      <c r="E214" t="str">
        <f>"FEISAL ZAIDAN BIN ALI"</f>
        <v>FEISAL ZAIDAN BIN ALI</v>
      </c>
      <c r="F214" t="str">
        <f>"011020004410"</f>
        <v>011020004410</v>
      </c>
      <c r="G214" t="str">
        <f>"162106468109"</f>
        <v>162106468109</v>
      </c>
      <c r="H214" t="str">
        <f t="shared" si="43"/>
        <v>MYR</v>
      </c>
      <c r="I214" t="str">
        <f t="shared" si="43"/>
        <v>MYR</v>
      </c>
      <c r="J214" t="str">
        <f>"2007-04-04"</f>
        <v>2007-04-04</v>
      </c>
      <c r="K214" t="str">
        <f>"300.00"</f>
        <v>300.00</v>
      </c>
      <c r="L214" t="str">
        <f>"300.00"</f>
        <v>300.00</v>
      </c>
      <c r="M214" t="str">
        <f t="shared" ref="M214:M219" si="44">"NIL"</f>
        <v>NIL</v>
      </c>
      <c r="N214" t="str">
        <f>"FEISAL ZAIDAN BIN AL"</f>
        <v>FEISAL ZAIDAN BIN AL</v>
      </c>
      <c r="O214" t="str">
        <f>"MAYBANK"</f>
        <v>MAYBANK</v>
      </c>
      <c r="P214" t="str">
        <f>"MBBEMYKL"</f>
        <v>MBBEMYKL</v>
      </c>
      <c r="Q214" t="str">
        <f t="shared" si="42"/>
        <v>NIL</v>
      </c>
      <c r="R214" t="str">
        <f>"feisal.zaidan@kfh.com.my"</f>
        <v>feisal.zaidan@kfh.com.my</v>
      </c>
      <c r="S214" t="str">
        <f>"iPAY to FEISAL ZAIDAN BIN AL (MAYBANK: 162106468109) (Ref No: 270114158606)"</f>
        <v>iPAY to FEISAL ZAIDAN BIN AL (MAYBANK: 162106468109) (Ref No: 270114158606)</v>
      </c>
      <c r="T214" t="str">
        <f t="shared" si="41"/>
        <v>2014-01-27</v>
      </c>
      <c r="U214" t="s">
        <v>32</v>
      </c>
      <c r="V214" t="str">
        <f>"Successful"</f>
        <v>Successful</v>
      </c>
      <c r="W214" t="str">
        <f>"270114158606"</f>
        <v>270114158606</v>
      </c>
      <c r="X214" t="str">
        <f t="shared" si="40"/>
        <v>219.93.33.173</v>
      </c>
    </row>
    <row r="215" spans="1:24">
      <c r="A215" t="s">
        <v>238</v>
      </c>
      <c r="B215" t="str">
        <f>"27/01/2014 13:54:59"</f>
        <v>27/01/2014 13:54:59</v>
      </c>
      <c r="C215" t="str">
        <f>"27156"</f>
        <v>27156</v>
      </c>
      <c r="D215" t="str">
        <f>"ellealirr23"</f>
        <v>ellealirr23</v>
      </c>
      <c r="E215" t="str">
        <f>"ALIAH BINTI ROSLAN"</f>
        <v>ALIAH BINTI ROSLAN</v>
      </c>
      <c r="F215" t="str">
        <f>"001103013688"</f>
        <v>001103013688</v>
      </c>
      <c r="G215" t="str">
        <f>"220221023631"</f>
        <v>220221023631</v>
      </c>
      <c r="H215" t="str">
        <f t="shared" si="43"/>
        <v>MYR</v>
      </c>
      <c r="I215" t="str">
        <f t="shared" si="43"/>
        <v>MYR</v>
      </c>
      <c r="J215" t="str">
        <f>"NIL"</f>
        <v>NIL</v>
      </c>
      <c r="K215" t="str">
        <f>"132.00"</f>
        <v>132.00</v>
      </c>
      <c r="L215" t="str">
        <f>"132.00"</f>
        <v>132.00</v>
      </c>
      <c r="M215" t="str">
        <f t="shared" si="44"/>
        <v>NIL</v>
      </c>
      <c r="N215" t="str">
        <f>"ROHMAH BINTI OSMAN"</f>
        <v>ROHMAH BINTI OSMAN</v>
      </c>
      <c r="O215" t="str">
        <f>"BANK RAKYAT"</f>
        <v>BANK RAKYAT</v>
      </c>
      <c r="P215" t="str">
        <f>"BKRMMYK1"</f>
        <v>BKRMMYK1</v>
      </c>
      <c r="Q215" t="str">
        <f t="shared" si="42"/>
        <v>NIL</v>
      </c>
      <c r="R215" t="str">
        <f>"elle_lia2020@yahoo.co.uk"</f>
        <v>elle_lia2020@yahoo.co.uk</v>
      </c>
      <c r="S215" t="str">
        <f>"iPAY to ROHMAH BINTI OSMAN (BANK RAKYAT: 220221023631)"</f>
        <v>iPAY to ROHMAH BINTI OSMAN (BANK RAKYAT: 220221023631)</v>
      </c>
      <c r="T215" t="str">
        <f t="shared" si="41"/>
        <v>2014-01-27</v>
      </c>
      <c r="U215" t="s">
        <v>34</v>
      </c>
      <c r="V215" t="str">
        <f>"System error"</f>
        <v>System error</v>
      </c>
      <c r="W215" t="str">
        <f>"NIL"</f>
        <v>NIL</v>
      </c>
      <c r="X215" t="str">
        <f t="shared" si="40"/>
        <v>219.93.33.173</v>
      </c>
    </row>
    <row r="216" spans="1:24">
      <c r="A216" t="s">
        <v>239</v>
      </c>
      <c r="B216" t="str">
        <f>"27/01/2014 13:56:05"</f>
        <v>27/01/2014 13:56:05</v>
      </c>
      <c r="C216" t="str">
        <f>"337"</f>
        <v>337</v>
      </c>
      <c r="D216" t="str">
        <f>"azanaqib"</f>
        <v>azanaqib</v>
      </c>
      <c r="E216" t="str">
        <f>"AZAHARI BIN ABD KUDUS"</f>
        <v>AZAHARI BIN ABD KUDUS</v>
      </c>
      <c r="F216" t="str">
        <f>"011050001951"</f>
        <v>011050001951</v>
      </c>
      <c r="G216" t="str">
        <f>"14700006990055"</f>
        <v>14700006990055</v>
      </c>
      <c r="H216" t="str">
        <f t="shared" si="43"/>
        <v>MYR</v>
      </c>
      <c r="I216" t="str">
        <f t="shared" si="43"/>
        <v>MYR</v>
      </c>
      <c r="J216" t="str">
        <f>"2006-01-16"</f>
        <v>2006-01-16</v>
      </c>
      <c r="K216" t="str">
        <f>"3000.00"</f>
        <v>3000.00</v>
      </c>
      <c r="L216" t="str">
        <f>"3000.00"</f>
        <v>3000.00</v>
      </c>
      <c r="M216" t="str">
        <f t="shared" si="44"/>
        <v>NIL</v>
      </c>
      <c r="N216" t="str">
        <f>"AZAHARI BIN A"</f>
        <v>AZAHARI BIN A</v>
      </c>
      <c r="O216" t="str">
        <f>"CIMB BANK"</f>
        <v>CIMB BANK</v>
      </c>
      <c r="P216" t="str">
        <f>"CIBBMYKL"</f>
        <v>CIBBMYKL</v>
      </c>
      <c r="Q216" t="str">
        <f t="shared" si="42"/>
        <v>NIL</v>
      </c>
      <c r="R216" t="str">
        <f>"aak_uia@yahoo.com"</f>
        <v>aak_uia@yahoo.com</v>
      </c>
      <c r="S216" t="str">
        <f>"iPAY to AZAHARI BIN A (CIMB BANK: 14700006990055) (Ref No: 270114158609)"</f>
        <v>iPAY to AZAHARI BIN A (CIMB BANK: 14700006990055) (Ref No: 270114158609)</v>
      </c>
      <c r="T216" t="str">
        <f t="shared" si="41"/>
        <v>2014-01-27</v>
      </c>
      <c r="U216" t="s">
        <v>32</v>
      </c>
      <c r="V216" t="str">
        <f>"Successful"</f>
        <v>Successful</v>
      </c>
      <c r="W216" t="str">
        <f>"270114158609"</f>
        <v>270114158609</v>
      </c>
      <c r="X216" t="str">
        <f t="shared" si="40"/>
        <v>219.93.33.173</v>
      </c>
    </row>
    <row r="217" spans="1:24">
      <c r="A217" t="s">
        <v>240</v>
      </c>
      <c r="B217" t="str">
        <f>"27/01/2014 13:57:42"</f>
        <v>27/01/2014 13:57:42</v>
      </c>
      <c r="C217" t="str">
        <f>"1663"</f>
        <v>1663</v>
      </c>
      <c r="D217" t="str">
        <f>"marina_law"</f>
        <v>marina_law</v>
      </c>
      <c r="E217" t="str">
        <f>"LAW SUAN SIM"</f>
        <v>LAW SUAN SIM</v>
      </c>
      <c r="F217" t="str">
        <f>"001102007452"</f>
        <v>001102007452</v>
      </c>
      <c r="G217" t="str">
        <f>"4539669007558707"</f>
        <v>4539669007558707</v>
      </c>
      <c r="H217" t="str">
        <f t="shared" si="43"/>
        <v>MYR</v>
      </c>
      <c r="I217" t="str">
        <f t="shared" si="43"/>
        <v>MYR</v>
      </c>
      <c r="J217" t="str">
        <f>"2008-05-08"</f>
        <v>2008-05-08</v>
      </c>
      <c r="K217" t="str">
        <f>"365.39"</f>
        <v>365.39</v>
      </c>
      <c r="L217" t="str">
        <f>"365.39"</f>
        <v>365.39</v>
      </c>
      <c r="M217" t="str">
        <f t="shared" si="44"/>
        <v>NIL</v>
      </c>
      <c r="N217" t="str">
        <f>"MARINA LAW"</f>
        <v>MARINA LAW</v>
      </c>
      <c r="O217" t="str">
        <f>"HSBC BANK / HSBC AMANAH"</f>
        <v>HSBC BANK / HSBC AMANAH</v>
      </c>
      <c r="P217" t="str">
        <f>"HBMBMYKL"</f>
        <v>HBMBMYKL</v>
      </c>
      <c r="Q217" t="str">
        <f t="shared" si="42"/>
        <v>NIL</v>
      </c>
      <c r="R217" t="str">
        <f>"marinalaw13@gmail.com"</f>
        <v>marinalaw13@gmail.com</v>
      </c>
      <c r="S217" t="str">
        <f>"iPAY to MARINA LAW (HSBC BANK / HSBC AMANAH: 4539669007558707) (Ref No: 270114158612)"</f>
        <v>iPAY to MARINA LAW (HSBC BANK / HSBC AMANAH: 4539669007558707) (Ref No: 270114158612)</v>
      </c>
      <c r="T217" t="str">
        <f t="shared" si="41"/>
        <v>2014-01-27</v>
      </c>
      <c r="U217" t="s">
        <v>32</v>
      </c>
      <c r="V217" t="str">
        <f>"Successful"</f>
        <v>Successful</v>
      </c>
      <c r="W217" t="str">
        <f>"270114158612"</f>
        <v>270114158612</v>
      </c>
      <c r="X217" t="str">
        <f t="shared" si="40"/>
        <v>219.93.33.173</v>
      </c>
    </row>
    <row r="218" spans="1:24">
      <c r="A218" t="s">
        <v>241</v>
      </c>
      <c r="B218" t="str">
        <f>"27/01/2014 14:01:28"</f>
        <v>27/01/2014 14:01:28</v>
      </c>
      <c r="C218" t="str">
        <f>"21061"</f>
        <v>21061</v>
      </c>
      <c r="D218" t="str">
        <f>"amanghani"</f>
        <v>amanghani</v>
      </c>
      <c r="E218" t="str">
        <f>"AMAN BIN ABDUL GHANI"</f>
        <v>AMAN BIN ABDUL GHANI</v>
      </c>
      <c r="F218" t="str">
        <f>"008105001111"</f>
        <v>008105001111</v>
      </c>
      <c r="G218" t="str">
        <f>"881693232290010"</f>
        <v>881693232290010</v>
      </c>
      <c r="H218" t="str">
        <f t="shared" si="43"/>
        <v>MYR</v>
      </c>
      <c r="I218" t="str">
        <f t="shared" si="43"/>
        <v>MYR</v>
      </c>
      <c r="J218" t="str">
        <f>"NIL"</f>
        <v>NIL</v>
      </c>
      <c r="K218" t="str">
        <f>"441.00"</f>
        <v>441.00</v>
      </c>
      <c r="L218" t="str">
        <f>"441.00"</f>
        <v>441.00</v>
      </c>
      <c r="M218" t="str">
        <f t="shared" si="44"/>
        <v>NIL</v>
      </c>
      <c r="N218" t="str">
        <f>"AMAN BIN ABDUL GHANI"</f>
        <v>AMAN BIN ABDUL GHANI</v>
      </c>
      <c r="O218" t="str">
        <f>"PUBLIC BANK"</f>
        <v>PUBLIC BANK</v>
      </c>
      <c r="P218" t="str">
        <f>"PBBEMYKL"</f>
        <v>PBBEMYKL</v>
      </c>
      <c r="Q218" t="str">
        <f t="shared" si="42"/>
        <v>NIL</v>
      </c>
      <c r="R218" t="str">
        <f>"aman.ghani@kfh.com.my"</f>
        <v>aman.ghani@kfh.com.my</v>
      </c>
      <c r="S218" t="str">
        <f>"iPAY to AMAN BIN ABDUL GHANI (PUBLIC BANK: 881693232290010)"</f>
        <v>iPAY to AMAN BIN ABDUL GHANI (PUBLIC BANK: 881693232290010)</v>
      </c>
      <c r="T218" t="str">
        <f t="shared" si="41"/>
        <v>2014-01-27</v>
      </c>
      <c r="U218" t="s">
        <v>34</v>
      </c>
      <c r="V218" t="str">
        <f>"System error"</f>
        <v>System error</v>
      </c>
      <c r="W218" t="str">
        <f>"NIL"</f>
        <v>NIL</v>
      </c>
      <c r="X218" t="str">
        <f t="shared" si="40"/>
        <v>219.93.33.173</v>
      </c>
    </row>
    <row r="219" spans="1:24">
      <c r="A219" t="s">
        <v>242</v>
      </c>
      <c r="B219" t="str">
        <f>"27/01/2014 14:02:32"</f>
        <v>27/01/2014 14:02:32</v>
      </c>
      <c r="C219" t="str">
        <f>"21061"</f>
        <v>21061</v>
      </c>
      <c r="D219" t="str">
        <f>"amanghani"</f>
        <v>amanghani</v>
      </c>
      <c r="E219" t="str">
        <f>"AMAN BIN ABDUL GHANI"</f>
        <v>AMAN BIN ABDUL GHANI</v>
      </c>
      <c r="F219" t="str">
        <f>"008105001111"</f>
        <v>008105001111</v>
      </c>
      <c r="G219" t="str">
        <f>"0301041000106082"</f>
        <v>0301041000106082</v>
      </c>
      <c r="H219" t="str">
        <f t="shared" si="43"/>
        <v>MYR</v>
      </c>
      <c r="I219" t="str">
        <f t="shared" si="43"/>
        <v>MYR</v>
      </c>
      <c r="J219" t="str">
        <f>"2011-09-20"</f>
        <v>2011-09-20</v>
      </c>
      <c r="K219" t="str">
        <f>"840.00"</f>
        <v>840.00</v>
      </c>
      <c r="L219" t="str">
        <f>"840.00"</f>
        <v>840.00</v>
      </c>
      <c r="M219" t="str">
        <f t="shared" si="44"/>
        <v>NIL</v>
      </c>
      <c r="N219" t="str">
        <f>"AMAN BIN ABDUL GHANI"</f>
        <v>AMAN BIN ABDUL GHANI</v>
      </c>
      <c r="O219" t="str">
        <f>"BANK SIMPANAN NASIONAL"</f>
        <v>BANK SIMPANAN NASIONAL</v>
      </c>
      <c r="P219" t="str">
        <f>"BSNAMYKL"</f>
        <v>BSNAMYKL</v>
      </c>
      <c r="Q219" t="str">
        <f t="shared" si="42"/>
        <v>NIL</v>
      </c>
      <c r="R219" t="str">
        <f>"NIL"</f>
        <v>NIL</v>
      </c>
      <c r="S219" t="str">
        <f>"iPAY to AMAN BIN ABDUL GHANI (BANK SIMPANAN NASIONAL: 0301041000106082) (Ref No: 270114158616)"</f>
        <v>iPAY to AMAN BIN ABDUL GHANI (BANK SIMPANAN NASIONAL: 0301041000106082) (Ref No: 270114158616)</v>
      </c>
      <c r="T219" t="str">
        <f t="shared" si="41"/>
        <v>2014-01-27</v>
      </c>
      <c r="U219" t="s">
        <v>32</v>
      </c>
      <c r="V219" t="str">
        <f>"Successful"</f>
        <v>Successful</v>
      </c>
      <c r="W219" t="str">
        <f>"270114158616"</f>
        <v>270114158616</v>
      </c>
      <c r="X219" t="str">
        <f t="shared" si="40"/>
        <v>219.93.33.173</v>
      </c>
    </row>
    <row r="220" spans="1:24">
      <c r="A220" t="s">
        <v>243</v>
      </c>
      <c r="B220" t="str">
        <f>"27/01/2014 14:03:51"</f>
        <v>27/01/2014 14:03:51</v>
      </c>
      <c r="C220" t="str">
        <f>"744"</f>
        <v>744</v>
      </c>
      <c r="D220" t="str">
        <f>"Rozita"</f>
        <v>Rozita</v>
      </c>
      <c r="E220" t="str">
        <f>"ROZITA BINTI DAUD"</f>
        <v>ROZITA BINTI DAUD</v>
      </c>
      <c r="F220" t="str">
        <f>"011050004365"</f>
        <v>011050004365</v>
      </c>
      <c r="G220" t="str">
        <f>"0317651007"</f>
        <v>0317651007</v>
      </c>
      <c r="H220" t="str">
        <f t="shared" si="43"/>
        <v>MYR</v>
      </c>
      <c r="I220" t="str">
        <f t="shared" si="43"/>
        <v>MYR</v>
      </c>
      <c r="J220" t="str">
        <f>"2007-03-01"</f>
        <v>2007-03-01</v>
      </c>
      <c r="K220" t="str">
        <f>"5000.00"</f>
        <v>5000.00</v>
      </c>
      <c r="L220" t="str">
        <f>"5000.00"</f>
        <v>5000.00</v>
      </c>
      <c r="M220" t="str">
        <f>"TRFJAN201401"</f>
        <v>TRFJAN201401</v>
      </c>
      <c r="N220" t="str">
        <f>"ROZITA DAUD"</f>
        <v>ROZITA DAUD</v>
      </c>
      <c r="O220" t="str">
        <f>"CITIBANK"</f>
        <v>CITIBANK</v>
      </c>
      <c r="P220" t="str">
        <f>"CITIMYKL"</f>
        <v>CITIMYKL</v>
      </c>
      <c r="Q220" t="str">
        <f t="shared" si="42"/>
        <v>NIL</v>
      </c>
      <c r="R220" t="str">
        <f>"rozita.daud@kfh.com.my"</f>
        <v>rozita.daud@kfh.com.my</v>
      </c>
      <c r="S220" t="str">
        <f>"iPAY to ROZITA DAUD (CITIBANK: 0317651007) (Ref No: 270114158624)"</f>
        <v>iPAY to ROZITA DAUD (CITIBANK: 0317651007) (Ref No: 270114158624)</v>
      </c>
      <c r="T220" t="str">
        <f t="shared" si="41"/>
        <v>2014-01-27</v>
      </c>
      <c r="U220" t="s">
        <v>32</v>
      </c>
      <c r="V220" t="str">
        <f>"Successful"</f>
        <v>Successful</v>
      </c>
      <c r="W220" t="str">
        <f>"270114158624"</f>
        <v>270114158624</v>
      </c>
      <c r="X220" t="str">
        <f t="shared" si="40"/>
        <v>219.93.33.173</v>
      </c>
    </row>
    <row r="221" spans="1:24">
      <c r="A221" t="s">
        <v>244</v>
      </c>
      <c r="B221" t="str">
        <f>"27/01/2014 14:04:17"</f>
        <v>27/01/2014 14:04:17</v>
      </c>
      <c r="C221" t="str">
        <f>"1536"</f>
        <v>1536</v>
      </c>
      <c r="D221" t="str">
        <f>"rvicky"</f>
        <v>rvicky</v>
      </c>
      <c r="E221" t="str">
        <f>"VIKENESVARAN A/L RATHAKRISNA"</f>
        <v>VIKENESVARAN A/L RATHAKRISNA</v>
      </c>
      <c r="F221" t="str">
        <f>"001102007002"</f>
        <v>001102007002</v>
      </c>
      <c r="G221" t="str">
        <f>"164481135704"</f>
        <v>164481135704</v>
      </c>
      <c r="H221" t="str">
        <f t="shared" si="43"/>
        <v>MYR</v>
      </c>
      <c r="I221" t="str">
        <f t="shared" si="43"/>
        <v>MYR</v>
      </c>
      <c r="J221" t="str">
        <f>"NIL"</f>
        <v>NIL</v>
      </c>
      <c r="K221" t="str">
        <f>"100.00"</f>
        <v>100.00</v>
      </c>
      <c r="L221" t="str">
        <f>"100.00"</f>
        <v>100.00</v>
      </c>
      <c r="M221" t="str">
        <f>"NIL"</f>
        <v>NIL</v>
      </c>
      <c r="N221" t="str">
        <f>"P KARUPAGA VALLI A"</f>
        <v>P KARUPAGA VALLI A</v>
      </c>
      <c r="O221" t="str">
        <f>"MAYBANK"</f>
        <v>MAYBANK</v>
      </c>
      <c r="P221" t="str">
        <f>"MBBEMYKL"</f>
        <v>MBBEMYKL</v>
      </c>
      <c r="Q221" t="str">
        <f t="shared" si="42"/>
        <v>NIL</v>
      </c>
      <c r="R221" t="str">
        <f>"vikenes.r@gmail.com"</f>
        <v>vikenes.r@gmail.com</v>
      </c>
      <c r="S221" t="str">
        <f>"iPAY to P KARUPAGA VALLI A (MAYBANK: 164481135704)"</f>
        <v>iPAY to P KARUPAGA VALLI A (MAYBANK: 164481135704)</v>
      </c>
      <c r="T221" t="str">
        <f t="shared" si="41"/>
        <v>2014-01-27</v>
      </c>
      <c r="U221" t="s">
        <v>34</v>
      </c>
      <c r="V221" t="str">
        <f>"System error"</f>
        <v>System error</v>
      </c>
      <c r="W221" t="str">
        <f>"NIL"</f>
        <v>NIL</v>
      </c>
      <c r="X221" t="str">
        <f t="shared" si="40"/>
        <v>219.93.33.173</v>
      </c>
    </row>
    <row r="222" spans="1:24">
      <c r="A222" t="s">
        <v>245</v>
      </c>
      <c r="B222" t="str">
        <f>"27/01/2014 14:04:55"</f>
        <v>27/01/2014 14:04:55</v>
      </c>
      <c r="C222" t="str">
        <f>"21061"</f>
        <v>21061</v>
      </c>
      <c r="D222" t="str">
        <f>"amanghani"</f>
        <v>amanghani</v>
      </c>
      <c r="E222" t="str">
        <f>"AMAN BIN ABDUL GHANI"</f>
        <v>AMAN BIN ABDUL GHANI</v>
      </c>
      <c r="F222" t="str">
        <f>"008105001111"</f>
        <v>008105001111</v>
      </c>
      <c r="G222" t="str">
        <f>"881693232290010"</f>
        <v>881693232290010</v>
      </c>
      <c r="H222" t="str">
        <f t="shared" si="43"/>
        <v>MYR</v>
      </c>
      <c r="I222" t="str">
        <f t="shared" si="43"/>
        <v>MYR</v>
      </c>
      <c r="J222" t="str">
        <f>"2011-09-20"</f>
        <v>2011-09-20</v>
      </c>
      <c r="K222" t="str">
        <f>"441.00"</f>
        <v>441.00</v>
      </c>
      <c r="L222" t="str">
        <f>"441.00"</f>
        <v>441.00</v>
      </c>
      <c r="M222" t="str">
        <f>"NIL"</f>
        <v>NIL</v>
      </c>
      <c r="N222" t="str">
        <f>"AMAN BIN ABDUL GHANI"</f>
        <v>AMAN BIN ABDUL GHANI</v>
      </c>
      <c r="O222" t="str">
        <f>"PUBLIC BANK"</f>
        <v>PUBLIC BANK</v>
      </c>
      <c r="P222" t="str">
        <f>"PBBEMYKL"</f>
        <v>PBBEMYKL</v>
      </c>
      <c r="Q222" t="str">
        <f t="shared" si="42"/>
        <v>NIL</v>
      </c>
      <c r="R222" t="str">
        <f>"aman.ghani@kfh.com.my"</f>
        <v>aman.ghani@kfh.com.my</v>
      </c>
      <c r="S222" t="str">
        <f>"iPAY to AMAN BIN ABDUL GHANI (PUBLIC BANK: 881693232290010) (Ref No: 270114158620)"</f>
        <v>iPAY to AMAN BIN ABDUL GHANI (PUBLIC BANK: 881693232290010) (Ref No: 270114158620)</v>
      </c>
      <c r="T222" t="str">
        <f t="shared" si="41"/>
        <v>2014-01-27</v>
      </c>
      <c r="U222" t="s">
        <v>32</v>
      </c>
      <c r="V222" t="str">
        <f>"Successful"</f>
        <v>Successful</v>
      </c>
      <c r="W222" t="str">
        <f>"270114158620"</f>
        <v>270114158620</v>
      </c>
      <c r="X222" t="str">
        <f t="shared" si="40"/>
        <v>219.93.33.173</v>
      </c>
    </row>
    <row r="223" spans="1:24">
      <c r="A223" t="s">
        <v>246</v>
      </c>
      <c r="B223" t="str">
        <f>"27/01/2014 14:05:16"</f>
        <v>27/01/2014 14:05:16</v>
      </c>
      <c r="C223" t="str">
        <f>"1536"</f>
        <v>1536</v>
      </c>
      <c r="D223" t="str">
        <f>"rvicky"</f>
        <v>rvicky</v>
      </c>
      <c r="E223" t="str">
        <f>"VIKENESVARAN A/L RATHAKRISNA"</f>
        <v>VIKENESVARAN A/L RATHAKRISNA</v>
      </c>
      <c r="F223" t="str">
        <f>"001102007002"</f>
        <v>001102007002</v>
      </c>
      <c r="G223" t="str">
        <f>"164481135704"</f>
        <v>164481135704</v>
      </c>
      <c r="H223" t="str">
        <f t="shared" si="43"/>
        <v>MYR</v>
      </c>
      <c r="I223" t="str">
        <f t="shared" si="43"/>
        <v>MYR</v>
      </c>
      <c r="J223" t="str">
        <f>"NIL"</f>
        <v>NIL</v>
      </c>
      <c r="K223" t="str">
        <f>"100.00"</f>
        <v>100.00</v>
      </c>
      <c r="L223" t="str">
        <f>"100.00"</f>
        <v>100.00</v>
      </c>
      <c r="M223" t="str">
        <f>"tr"</f>
        <v>tr</v>
      </c>
      <c r="N223" t="str">
        <f>"P KARUPAGA VALLI A"</f>
        <v>P KARUPAGA VALLI A</v>
      </c>
      <c r="O223" t="str">
        <f>"MAYBANK"</f>
        <v>MAYBANK</v>
      </c>
      <c r="P223" t="str">
        <f>"MBBEMYKL"</f>
        <v>MBBEMYKL</v>
      </c>
      <c r="Q223" t="str">
        <f t="shared" si="42"/>
        <v>NIL</v>
      </c>
      <c r="R223" t="str">
        <f>"vikenes.r@gmail.com"</f>
        <v>vikenes.r@gmail.com</v>
      </c>
      <c r="S223" t="str">
        <f>"iPAY to P KARUPAGA VALLI A (MAYBANK: 164481135704)"</f>
        <v>iPAY to P KARUPAGA VALLI A (MAYBANK: 164481135704)</v>
      </c>
      <c r="T223" t="str">
        <f t="shared" si="41"/>
        <v>2014-01-27</v>
      </c>
      <c r="U223" t="s">
        <v>34</v>
      </c>
      <c r="V223" t="str">
        <f>"System error"</f>
        <v>System error</v>
      </c>
      <c r="W223" t="str">
        <f>"NIL"</f>
        <v>NIL</v>
      </c>
      <c r="X223" t="str">
        <f t="shared" si="40"/>
        <v>219.93.33.173</v>
      </c>
    </row>
    <row r="224" spans="1:24">
      <c r="A224" t="s">
        <v>247</v>
      </c>
      <c r="B224" t="str">
        <f>"27/01/2014 14:08:29"</f>
        <v>27/01/2014 14:08:29</v>
      </c>
      <c r="C224" t="str">
        <f>"20031"</f>
        <v>20031</v>
      </c>
      <c r="D224" t="str">
        <f>"rosliwanchek1"</f>
        <v>rosliwanchek1</v>
      </c>
      <c r="E224" t="str">
        <f>"ROSLI BIN WAN CHEK"</f>
        <v>ROSLI BIN WAN CHEK</v>
      </c>
      <c r="F224" t="str">
        <f>"001101000303"</f>
        <v>001101000303</v>
      </c>
      <c r="G224" t="str">
        <f>"164342003430"</f>
        <v>164342003430</v>
      </c>
      <c r="H224" t="str">
        <f t="shared" si="43"/>
        <v>MYR</v>
      </c>
      <c r="I224" t="str">
        <f t="shared" si="43"/>
        <v>MYR</v>
      </c>
      <c r="J224" t="str">
        <f>"2011-09-22"</f>
        <v>2011-09-22</v>
      </c>
      <c r="K224" t="str">
        <f>"500.00"</f>
        <v>500.00</v>
      </c>
      <c r="L224" t="str">
        <f>"500.00"</f>
        <v>500.00</v>
      </c>
      <c r="M224" t="str">
        <f>"kom"</f>
        <v>kom</v>
      </c>
      <c r="N224" t="str">
        <f>"ROSLI BIN WAN CHEK"</f>
        <v>ROSLI BIN WAN CHEK</v>
      </c>
      <c r="O224" t="str">
        <f>"MAYBANK"</f>
        <v>MAYBANK</v>
      </c>
      <c r="P224" t="str">
        <f>"MBBEMYKL"</f>
        <v>MBBEMYKL</v>
      </c>
      <c r="Q224" t="str">
        <f t="shared" si="42"/>
        <v>NIL</v>
      </c>
      <c r="R224" t="str">
        <f>"rosliwc@idsb.com.my"</f>
        <v>rosliwc@idsb.com.my</v>
      </c>
      <c r="S224" t="str">
        <f>"iPAY to ROSLI BIN WAN CHEK (MAYBANK: 164342003430) (Ref No: 270114158633)"</f>
        <v>iPAY to ROSLI BIN WAN CHEK (MAYBANK: 164342003430) (Ref No: 270114158633)</v>
      </c>
      <c r="T224" t="str">
        <f t="shared" si="41"/>
        <v>2014-01-27</v>
      </c>
      <c r="U224" t="s">
        <v>32</v>
      </c>
      <c r="V224" t="str">
        <f>"Successful"</f>
        <v>Successful</v>
      </c>
      <c r="W224" t="str">
        <f>"270114158633"</f>
        <v>270114158633</v>
      </c>
      <c r="X224" t="str">
        <f>"118.100.232.230"</f>
        <v>118.100.232.230</v>
      </c>
    </row>
    <row r="225" spans="1:24">
      <c r="A225" t="s">
        <v>248</v>
      </c>
      <c r="B225" t="str">
        <f>"27/01/2014 14:08:56"</f>
        <v>27/01/2014 14:08:56</v>
      </c>
      <c r="C225" t="str">
        <f>"771"</f>
        <v>771</v>
      </c>
      <c r="D225" t="str">
        <f>"Jennifer8"</f>
        <v>Jennifer8</v>
      </c>
      <c r="E225" t="str">
        <f>"NUR SALIHIN BINTI ABDULLAH @ JENNIFER NG"</f>
        <v>NUR SALIHIN BINTI ABDULLAH @ JENNIFER NG</v>
      </c>
      <c r="F225" t="str">
        <f>"011020004240"</f>
        <v>011020004240</v>
      </c>
      <c r="G225" t="str">
        <f>"00100263644"</f>
        <v>00100263644</v>
      </c>
      <c r="H225" t="str">
        <f t="shared" si="43"/>
        <v>MYR</v>
      </c>
      <c r="I225" t="str">
        <f t="shared" si="43"/>
        <v>MYR</v>
      </c>
      <c r="J225" t="str">
        <f>"NIL"</f>
        <v>NIL</v>
      </c>
      <c r="K225" t="str">
        <f t="shared" ref="K225:L227" si="45">"2500.00"</f>
        <v>2500.00</v>
      </c>
      <c r="L225" t="str">
        <f t="shared" si="45"/>
        <v>2500.00</v>
      </c>
      <c r="M225" t="str">
        <f>"NIL"</f>
        <v>NIL</v>
      </c>
      <c r="N225" t="str">
        <f>"NUR SALIHIN BINTI AB"</f>
        <v>NUR SALIHIN BINTI AB</v>
      </c>
      <c r="O225" t="str">
        <f>"HONG LEONG BANK"</f>
        <v>HONG LEONG BANK</v>
      </c>
      <c r="P225" t="str">
        <f>"HLBBMYKL"</f>
        <v>HLBBMYKL</v>
      </c>
      <c r="Q225" t="str">
        <f t="shared" si="42"/>
        <v>NIL</v>
      </c>
      <c r="R225" t="str">
        <f>"jennifer.abdullah@kfh.com.my"</f>
        <v>jennifer.abdullah@kfh.com.my</v>
      </c>
      <c r="S225" t="str">
        <f>"iPAY to NUR SALIHIN BINTI AB (HONG LEONG BANK: 00100263644)"</f>
        <v>iPAY to NUR SALIHIN BINTI AB (HONG LEONG BANK: 00100263644)</v>
      </c>
      <c r="T225" t="str">
        <f t="shared" si="41"/>
        <v>2014-01-27</v>
      </c>
      <c r="U225" t="s">
        <v>34</v>
      </c>
      <c r="V225" t="str">
        <f>"System error"</f>
        <v>System error</v>
      </c>
      <c r="W225" t="str">
        <f>"NIL"</f>
        <v>NIL</v>
      </c>
      <c r="X225" t="str">
        <f t="shared" ref="X225:X231" si="46">"219.93.33.173"</f>
        <v>219.93.33.173</v>
      </c>
    </row>
    <row r="226" spans="1:24">
      <c r="A226" t="s">
        <v>249</v>
      </c>
      <c r="B226" t="str">
        <f>"27/01/2014 14:09:38"</f>
        <v>27/01/2014 14:09:38</v>
      </c>
      <c r="C226" t="str">
        <f>"771"</f>
        <v>771</v>
      </c>
      <c r="D226" t="str">
        <f>"Jennifer8"</f>
        <v>Jennifer8</v>
      </c>
      <c r="E226" t="str">
        <f>"NUR SALIHIN BINTI ABDULLAH @ JENNIFER NG"</f>
        <v>NUR SALIHIN BINTI ABDULLAH @ JENNIFER NG</v>
      </c>
      <c r="F226" t="str">
        <f>"011020004240"</f>
        <v>011020004240</v>
      </c>
      <c r="G226" t="str">
        <f>"14250008785201"</f>
        <v>14250008785201</v>
      </c>
      <c r="H226" t="str">
        <f t="shared" si="43"/>
        <v>MYR</v>
      </c>
      <c r="I226" t="str">
        <f t="shared" si="43"/>
        <v>MYR</v>
      </c>
      <c r="J226" t="str">
        <f>"2007-03-15"</f>
        <v>2007-03-15</v>
      </c>
      <c r="K226" t="str">
        <f t="shared" si="45"/>
        <v>2500.00</v>
      </c>
      <c r="L226" t="str">
        <f t="shared" si="45"/>
        <v>2500.00</v>
      </c>
      <c r="M226" t="str">
        <f>"NIL"</f>
        <v>NIL</v>
      </c>
      <c r="N226" t="str">
        <f>"NUR SALIHIN B"</f>
        <v>NUR SALIHIN B</v>
      </c>
      <c r="O226" t="str">
        <f>"CIMB BANK"</f>
        <v>CIMB BANK</v>
      </c>
      <c r="P226" t="str">
        <f>"CIBBMYKL"</f>
        <v>CIBBMYKL</v>
      </c>
      <c r="Q226" t="str">
        <f t="shared" si="42"/>
        <v>NIL</v>
      </c>
      <c r="R226" t="str">
        <f>"jennifer.abdullah@kfh.com.my"</f>
        <v>jennifer.abdullah@kfh.com.my</v>
      </c>
      <c r="S226" t="str">
        <f>"iPAY to NUR SALIHIN B (CIMB BANK: 14250008785201) (Ref No: 270114158628)"</f>
        <v>iPAY to NUR SALIHIN B (CIMB BANK: 14250008785201) (Ref No: 270114158628)</v>
      </c>
      <c r="T226" t="str">
        <f t="shared" si="41"/>
        <v>2014-01-27</v>
      </c>
      <c r="U226" t="s">
        <v>32</v>
      </c>
      <c r="V226" t="str">
        <f>"Successful"</f>
        <v>Successful</v>
      </c>
      <c r="W226" t="str">
        <f>"270114158628"</f>
        <v>270114158628</v>
      </c>
      <c r="X226" t="str">
        <f t="shared" si="46"/>
        <v>219.93.33.173</v>
      </c>
    </row>
    <row r="227" spans="1:24">
      <c r="A227" t="s">
        <v>250</v>
      </c>
      <c r="B227" t="str">
        <f>"27/01/2014 14:10:22"</f>
        <v>27/01/2014 14:10:22</v>
      </c>
      <c r="C227" t="str">
        <f>"771"</f>
        <v>771</v>
      </c>
      <c r="D227" t="str">
        <f>"Jennifer8"</f>
        <v>Jennifer8</v>
      </c>
      <c r="E227" t="str">
        <f>"NUR SALIHIN BINTI ABDULLAH @ JENNIFER NG"</f>
        <v>NUR SALIHIN BINTI ABDULLAH @ JENNIFER NG</v>
      </c>
      <c r="F227" t="str">
        <f>"011020004240"</f>
        <v>011020004240</v>
      </c>
      <c r="G227" t="str">
        <f>"00100263644"</f>
        <v>00100263644</v>
      </c>
      <c r="H227" t="str">
        <f t="shared" si="43"/>
        <v>MYR</v>
      </c>
      <c r="I227" t="str">
        <f t="shared" si="43"/>
        <v>MYR</v>
      </c>
      <c r="J227" t="str">
        <f>"2007-03-15"</f>
        <v>2007-03-15</v>
      </c>
      <c r="K227" t="str">
        <f t="shared" si="45"/>
        <v>2500.00</v>
      </c>
      <c r="L227" t="str">
        <f t="shared" si="45"/>
        <v>2500.00</v>
      </c>
      <c r="M227" t="str">
        <f>"NIL"</f>
        <v>NIL</v>
      </c>
      <c r="N227" t="str">
        <f>"NUR SALIHIN BINTI AB"</f>
        <v>NUR SALIHIN BINTI AB</v>
      </c>
      <c r="O227" t="str">
        <f>"HONG LEONG BANK"</f>
        <v>HONG LEONG BANK</v>
      </c>
      <c r="P227" t="str">
        <f>"HLBBMYKL"</f>
        <v>HLBBMYKL</v>
      </c>
      <c r="Q227" t="str">
        <f t="shared" si="42"/>
        <v>NIL</v>
      </c>
      <c r="R227" t="str">
        <f>"jennifer.abdullah@kfh.com.my"</f>
        <v>jennifer.abdullah@kfh.com.my</v>
      </c>
      <c r="S227" t="str">
        <f>"iPAY to NUR SALIHIN BINTI AB (HONG LEONG BANK: 00100263644) (Ref No: 270114158631)"</f>
        <v>iPAY to NUR SALIHIN BINTI AB (HONG LEONG BANK: 00100263644) (Ref No: 270114158631)</v>
      </c>
      <c r="T227" t="str">
        <f t="shared" si="41"/>
        <v>2014-01-27</v>
      </c>
      <c r="U227" t="s">
        <v>32</v>
      </c>
      <c r="V227" t="str">
        <f>"Successful"</f>
        <v>Successful</v>
      </c>
      <c r="W227" t="str">
        <f>"270114158631"</f>
        <v>270114158631</v>
      </c>
      <c r="X227" t="str">
        <f t="shared" si="46"/>
        <v>219.93.33.173</v>
      </c>
    </row>
    <row r="228" spans="1:24">
      <c r="A228" t="s">
        <v>251</v>
      </c>
      <c r="B228" t="str">
        <f>"27/01/2014 14:10:38"</f>
        <v>27/01/2014 14:10:38</v>
      </c>
      <c r="C228" t="str">
        <f>"12739"</f>
        <v>12739</v>
      </c>
      <c r="D228" t="str">
        <f>"alex0701"</f>
        <v>alex0701</v>
      </c>
      <c r="E228" t="str">
        <f>"CHOO HOCK WAI"</f>
        <v>CHOO HOCK WAI</v>
      </c>
      <c r="F228" t="str">
        <f>"001102027275"</f>
        <v>001102027275</v>
      </c>
      <c r="G228" t="str">
        <f>"108020379274"</f>
        <v>108020379274</v>
      </c>
      <c r="H228" t="str">
        <f t="shared" si="43"/>
        <v>MYR</v>
      </c>
      <c r="I228" t="str">
        <f t="shared" si="43"/>
        <v>MYR</v>
      </c>
      <c r="J228" t="str">
        <f>"2011-06-13"</f>
        <v>2011-06-13</v>
      </c>
      <c r="K228" t="str">
        <f>"500.00"</f>
        <v>500.00</v>
      </c>
      <c r="L228" t="str">
        <f>"500.00"</f>
        <v>500.00</v>
      </c>
      <c r="M228" t="str">
        <f>"CNY parents 2014"</f>
        <v>CNY parents 2014</v>
      </c>
      <c r="N228" t="str">
        <f>"CHOY CHONG HOE"</f>
        <v>CHOY CHONG HOE</v>
      </c>
      <c r="O228" t="str">
        <f>"MAYBANK"</f>
        <v>MAYBANK</v>
      </c>
      <c r="P228" t="str">
        <f>"MBBEMYKL"</f>
        <v>MBBEMYKL</v>
      </c>
      <c r="Q228" t="str">
        <f>"270114"</f>
        <v>270114</v>
      </c>
      <c r="R228" t="str">
        <f>"hockwai_choo@yahoo.com.sg"</f>
        <v>hockwai_choo@yahoo.com.sg</v>
      </c>
      <c r="S228" t="str">
        <f>"iPAY to CHOY CHONG HOE (MAYBANK: 108020379274) (Ref No: 270114158637)"</f>
        <v>iPAY to CHOY CHONG HOE (MAYBANK: 108020379274) (Ref No: 270114158637)</v>
      </c>
      <c r="T228" t="str">
        <f t="shared" si="41"/>
        <v>2014-01-27</v>
      </c>
      <c r="U228" t="s">
        <v>32</v>
      </c>
      <c r="V228" t="str">
        <f>"Successful"</f>
        <v>Successful</v>
      </c>
      <c r="W228" t="str">
        <f>"270114158637"</f>
        <v>270114158637</v>
      </c>
      <c r="X228" t="str">
        <f t="shared" si="46"/>
        <v>219.93.33.173</v>
      </c>
    </row>
    <row r="229" spans="1:24">
      <c r="A229" t="s">
        <v>252</v>
      </c>
      <c r="B229" t="str">
        <f>"27/01/2014 14:16:37"</f>
        <v>27/01/2014 14:16:37</v>
      </c>
      <c r="C229" t="str">
        <f>"27165"</f>
        <v>27165</v>
      </c>
      <c r="D229" t="str">
        <f>"azrisyafiq8896"</f>
        <v>azrisyafiq8896</v>
      </c>
      <c r="E229" t="str">
        <f>"AZRI SYAFIQ BIN AZMAN"</f>
        <v>AZRI SYAFIQ BIN AZMAN</v>
      </c>
      <c r="F229" t="str">
        <f>"001103013718"</f>
        <v>001103013718</v>
      </c>
      <c r="G229" t="str">
        <f>"151584069198"</f>
        <v>151584069198</v>
      </c>
      <c r="H229" t="str">
        <f t="shared" si="43"/>
        <v>MYR</v>
      </c>
      <c r="I229" t="str">
        <f t="shared" si="43"/>
        <v>MYR</v>
      </c>
      <c r="J229" t="str">
        <f>"2011-11-01"</f>
        <v>2011-11-01</v>
      </c>
      <c r="K229" t="str">
        <f>"50.00"</f>
        <v>50.00</v>
      </c>
      <c r="L229" t="str">
        <f>"50.00"</f>
        <v>50.00</v>
      </c>
      <c r="M229" t="str">
        <f>"NIL"</f>
        <v>NIL</v>
      </c>
      <c r="N229" t="str">
        <f>"NORKARIMAH BINTI AB"</f>
        <v>NORKARIMAH BINTI AB</v>
      </c>
      <c r="O229" t="str">
        <f>"MAYBANK"</f>
        <v>MAYBANK</v>
      </c>
      <c r="P229" t="str">
        <f>"MBBEMYKL"</f>
        <v>MBBEMYKL</v>
      </c>
      <c r="Q229" t="str">
        <f>"NIL"</f>
        <v>NIL</v>
      </c>
      <c r="R229" t="str">
        <f>"norkarimah8896@gmail.com"</f>
        <v>norkarimah8896@gmail.com</v>
      </c>
      <c r="S229" t="str">
        <f>"iPAY to NORKARIMAH BINTI AB (MAYBANK: 151584069198) (Ref No: 270114158640)"</f>
        <v>iPAY to NORKARIMAH BINTI AB (MAYBANK: 151584069198) (Ref No: 270114158640)</v>
      </c>
      <c r="T229" t="str">
        <f t="shared" si="41"/>
        <v>2014-01-27</v>
      </c>
      <c r="U229" t="s">
        <v>32</v>
      </c>
      <c r="V229" t="str">
        <f>"Successful"</f>
        <v>Successful</v>
      </c>
      <c r="W229" t="str">
        <f>"270114158640"</f>
        <v>270114158640</v>
      </c>
      <c r="X229" t="str">
        <f t="shared" si="46"/>
        <v>219.93.33.173</v>
      </c>
    </row>
    <row r="230" spans="1:24">
      <c r="A230" t="s">
        <v>253</v>
      </c>
      <c r="B230" t="str">
        <f>"27/01/2014 14:17:00"</f>
        <v>27/01/2014 14:17:00</v>
      </c>
      <c r="C230" t="str">
        <f>"27191"</f>
        <v>27191</v>
      </c>
      <c r="D230" t="str">
        <f>"aimisabri"</f>
        <v>aimisabri</v>
      </c>
      <c r="E230" t="str">
        <f>"AIMI BINTI MOHAMMAD SABRI"</f>
        <v>AIMI BINTI MOHAMMAD SABRI</v>
      </c>
      <c r="F230" t="str">
        <f>"001103013750"</f>
        <v>001103013750</v>
      </c>
      <c r="G230" t="str">
        <f>"4624202203"</f>
        <v>4624202203</v>
      </c>
      <c r="H230" t="str">
        <f t="shared" ref="H230:I249" si="47">"MYR"</f>
        <v>MYR</v>
      </c>
      <c r="I230" t="str">
        <f t="shared" si="47"/>
        <v>MYR</v>
      </c>
      <c r="J230" t="str">
        <f>"NIL"</f>
        <v>NIL</v>
      </c>
      <c r="K230" t="str">
        <f t="shared" ref="K230:L232" si="48">"300.00"</f>
        <v>300.00</v>
      </c>
      <c r="L230" t="str">
        <f t="shared" si="48"/>
        <v>300.00</v>
      </c>
      <c r="M230" t="str">
        <f>"car insurance"</f>
        <v>car insurance</v>
      </c>
      <c r="N230" t="str">
        <f>"AIMI BT MOHAMMAD SABRI"</f>
        <v>AIMI BT MOHAMMAD SABRI</v>
      </c>
      <c r="O230" t="str">
        <f>"PUBLIC BANK"</f>
        <v>PUBLIC BANK</v>
      </c>
      <c r="P230" t="str">
        <f>"PBBEMYKL"</f>
        <v>PBBEMYKL</v>
      </c>
      <c r="Q230" t="str">
        <f>"2"</f>
        <v>2</v>
      </c>
      <c r="R230" t="str">
        <f>"milo_mymi@yahoo.com"</f>
        <v>milo_mymi@yahoo.com</v>
      </c>
      <c r="S230" t="str">
        <f>"iPAY to AIMI BT MOHAMMAD SABRI (PUBLIC BANK: 4624202203)"</f>
        <v>iPAY to AIMI BT MOHAMMAD SABRI (PUBLIC BANK: 4624202203)</v>
      </c>
      <c r="T230" t="str">
        <f t="shared" si="41"/>
        <v>2014-01-27</v>
      </c>
      <c r="U230" t="s">
        <v>34</v>
      </c>
      <c r="V230" t="str">
        <f>"System error"</f>
        <v>System error</v>
      </c>
      <c r="W230" t="str">
        <f>"NIL"</f>
        <v>NIL</v>
      </c>
      <c r="X230" t="str">
        <f t="shared" si="46"/>
        <v>219.93.33.173</v>
      </c>
    </row>
    <row r="231" spans="1:24">
      <c r="A231" t="s">
        <v>254</v>
      </c>
      <c r="B231" t="str">
        <f>"27/01/2014 14:17:41"</f>
        <v>27/01/2014 14:17:41</v>
      </c>
      <c r="C231" t="str">
        <f>"27191"</f>
        <v>27191</v>
      </c>
      <c r="D231" t="str">
        <f>"aimisabri"</f>
        <v>aimisabri</v>
      </c>
      <c r="E231" t="str">
        <f>"AIMI BINTI MOHAMMAD SABRI"</f>
        <v>AIMI BINTI MOHAMMAD SABRI</v>
      </c>
      <c r="F231" t="str">
        <f>"001103013750"</f>
        <v>001103013750</v>
      </c>
      <c r="G231" t="str">
        <f>"4624202203"</f>
        <v>4624202203</v>
      </c>
      <c r="H231" t="str">
        <f t="shared" si="47"/>
        <v>MYR</v>
      </c>
      <c r="I231" t="str">
        <f t="shared" si="47"/>
        <v>MYR</v>
      </c>
      <c r="J231" t="str">
        <f>"2011-11-01"</f>
        <v>2011-11-01</v>
      </c>
      <c r="K231" t="str">
        <f t="shared" si="48"/>
        <v>300.00</v>
      </c>
      <c r="L231" t="str">
        <f t="shared" si="48"/>
        <v>300.00</v>
      </c>
      <c r="M231" t="str">
        <f>"car insurance"</f>
        <v>car insurance</v>
      </c>
      <c r="N231" t="str">
        <f>"AIMI BT MOHAMMAD SABRI"</f>
        <v>AIMI BT MOHAMMAD SABRI</v>
      </c>
      <c r="O231" t="str">
        <f>"PUBLIC BANK"</f>
        <v>PUBLIC BANK</v>
      </c>
      <c r="P231" t="str">
        <f>"PBBEMYKL"</f>
        <v>PBBEMYKL</v>
      </c>
      <c r="Q231" t="str">
        <f>"2"</f>
        <v>2</v>
      </c>
      <c r="R231" t="str">
        <f>"milo_mymi@yahoo.com"</f>
        <v>milo_mymi@yahoo.com</v>
      </c>
      <c r="S231" t="str">
        <f>"iPAY to AIMI BT MOHAMMAD SABRI (PUBLIC BANK: 4624202203) (Ref No: 270114158646)"</f>
        <v>iPAY to AIMI BT MOHAMMAD SABRI (PUBLIC BANK: 4624202203) (Ref No: 270114158646)</v>
      </c>
      <c r="T231" t="str">
        <f t="shared" si="41"/>
        <v>2014-01-27</v>
      </c>
      <c r="U231" t="s">
        <v>32</v>
      </c>
      <c r="V231" t="str">
        <f>"Successful"</f>
        <v>Successful</v>
      </c>
      <c r="W231" t="str">
        <f>"270114158646"</f>
        <v>270114158646</v>
      </c>
      <c r="X231" t="str">
        <f t="shared" si="46"/>
        <v>219.93.33.173</v>
      </c>
    </row>
    <row r="232" spans="1:24">
      <c r="A232" t="s">
        <v>255</v>
      </c>
      <c r="B232" t="str">
        <f>"27/01/2014 14:17:44"</f>
        <v>27/01/2014 14:17:44</v>
      </c>
      <c r="C232" t="str">
        <f>"46060"</f>
        <v>46060</v>
      </c>
      <c r="D232" t="str">
        <f>"suffia"</f>
        <v>suffia</v>
      </c>
      <c r="E232" t="str">
        <f>"SUFFIA BINTI ABU BAKAR"</f>
        <v>SUFFIA BINTI ABU BAKAR</v>
      </c>
      <c r="F232" t="str">
        <f>"001103019473"</f>
        <v>001103019473</v>
      </c>
      <c r="G232" t="str">
        <f>"10107100489700"</f>
        <v>10107100489700</v>
      </c>
      <c r="H232" t="str">
        <f t="shared" si="47"/>
        <v>MYR</v>
      </c>
      <c r="I232" t="str">
        <f t="shared" si="47"/>
        <v>MYR</v>
      </c>
      <c r="J232" t="str">
        <f>"NIL"</f>
        <v>NIL</v>
      </c>
      <c r="K232" t="str">
        <f t="shared" si="48"/>
        <v>300.00</v>
      </c>
      <c r="L232" t="str">
        <f t="shared" si="48"/>
        <v>300.00</v>
      </c>
      <c r="M232" t="str">
        <f>"Bulan Februari"</f>
        <v>Bulan Februari</v>
      </c>
      <c r="N232" t="str">
        <f>"CAESAR @ ABDU"</f>
        <v>CAESAR @ ABDU</v>
      </c>
      <c r="O232" t="str">
        <f>"RHB BANK"</f>
        <v>RHB BANK</v>
      </c>
      <c r="P232" t="str">
        <f>"RHBBMYKL"</f>
        <v>RHBBMYKL</v>
      </c>
      <c r="Q232" t="str">
        <f>"NIL"</f>
        <v>NIL</v>
      </c>
      <c r="R232" t="str">
        <f>"NIL"</f>
        <v>NIL</v>
      </c>
      <c r="S232" t="str">
        <f>"iPAY to CAESAR @ ABDU (RHB BANK: 10107100489700)"</f>
        <v>iPAY to CAESAR @ ABDU (RHB BANK: 10107100489700)</v>
      </c>
      <c r="T232" t="str">
        <f t="shared" si="41"/>
        <v>2014-01-27</v>
      </c>
      <c r="U232" t="s">
        <v>34</v>
      </c>
      <c r="V232" t="str">
        <f>"System error"</f>
        <v>System error</v>
      </c>
      <c r="W232" t="str">
        <f>"NIL"</f>
        <v>NIL</v>
      </c>
      <c r="X232" t="str">
        <f>"175.136.167.31"</f>
        <v>175.136.167.31</v>
      </c>
    </row>
    <row r="233" spans="1:24">
      <c r="A233" t="s">
        <v>256</v>
      </c>
      <c r="B233" t="str">
        <f>"27/01/2014 14:18:22"</f>
        <v>27/01/2014 14:18:22</v>
      </c>
      <c r="C233" t="str">
        <f>"46060"</f>
        <v>46060</v>
      </c>
      <c r="D233" t="str">
        <f>"suffia"</f>
        <v>suffia</v>
      </c>
      <c r="E233" t="str">
        <f>"SUFFIA BINTI ABU BAKAR"</f>
        <v>SUFFIA BINTI ABU BAKAR</v>
      </c>
      <c r="F233" t="str">
        <f>"001103019473"</f>
        <v>001103019473</v>
      </c>
      <c r="G233" t="str">
        <f>"151258369467"</f>
        <v>151258369467</v>
      </c>
      <c r="H233" t="str">
        <f t="shared" si="47"/>
        <v>MYR</v>
      </c>
      <c r="I233" t="str">
        <f t="shared" si="47"/>
        <v>MYR</v>
      </c>
      <c r="J233" t="str">
        <f>"2012-09-10"</f>
        <v>2012-09-10</v>
      </c>
      <c r="K233" t="str">
        <f>"1000.00"</f>
        <v>1000.00</v>
      </c>
      <c r="L233" t="str">
        <f>"1000.00"</f>
        <v>1000.00</v>
      </c>
      <c r="M233" t="str">
        <f>"monthly transfer"</f>
        <v>monthly transfer</v>
      </c>
      <c r="N233" t="str">
        <f>"SUFFIA BINTI ABU BAK"</f>
        <v>SUFFIA BINTI ABU BAK</v>
      </c>
      <c r="O233" t="str">
        <f>"MAYBANK"</f>
        <v>MAYBANK</v>
      </c>
      <c r="P233" t="str">
        <f>"MBBEMYKL"</f>
        <v>MBBEMYKL</v>
      </c>
      <c r="Q233" t="str">
        <f t="shared" ref="Q233:Q238" si="49">"NIL"</f>
        <v>NIL</v>
      </c>
      <c r="R233" t="str">
        <f>"suffia5@yahoo.com.sg"</f>
        <v>suffia5@yahoo.com.sg</v>
      </c>
      <c r="S233" t="str">
        <f>"iPAY to SUFFIA BINTI ABU BAK (MAYBANK: 151258369467) (Ref No: 270114158649)"</f>
        <v>iPAY to SUFFIA BINTI ABU BAK (MAYBANK: 151258369467) (Ref No: 270114158649)</v>
      </c>
      <c r="T233" t="str">
        <f t="shared" si="41"/>
        <v>2014-01-27</v>
      </c>
      <c r="U233" t="s">
        <v>32</v>
      </c>
      <c r="V233" t="str">
        <f>"Successful"</f>
        <v>Successful</v>
      </c>
      <c r="W233" t="str">
        <f>"270114158649"</f>
        <v>270114158649</v>
      </c>
      <c r="X233" t="str">
        <f>"175.136.167.31"</f>
        <v>175.136.167.31</v>
      </c>
    </row>
    <row r="234" spans="1:24">
      <c r="A234" t="s">
        <v>257</v>
      </c>
      <c r="B234" t="str">
        <f>"27/01/2014 14:18:57"</f>
        <v>27/01/2014 14:18:57</v>
      </c>
      <c r="C234" t="str">
        <f>"46060"</f>
        <v>46060</v>
      </c>
      <c r="D234" t="str">
        <f>"suffia"</f>
        <v>suffia</v>
      </c>
      <c r="E234" t="str">
        <f>"SUFFIA BINTI ABU BAKAR"</f>
        <v>SUFFIA BINTI ABU BAKAR</v>
      </c>
      <c r="F234" t="str">
        <f>"001103019473"</f>
        <v>001103019473</v>
      </c>
      <c r="G234" t="str">
        <f>"10107100489700"</f>
        <v>10107100489700</v>
      </c>
      <c r="H234" t="str">
        <f t="shared" si="47"/>
        <v>MYR</v>
      </c>
      <c r="I234" t="str">
        <f t="shared" si="47"/>
        <v>MYR</v>
      </c>
      <c r="J234" t="str">
        <f>"NIL"</f>
        <v>NIL</v>
      </c>
      <c r="K234" t="str">
        <f>"300.00"</f>
        <v>300.00</v>
      </c>
      <c r="L234" t="str">
        <f>"300.00"</f>
        <v>300.00</v>
      </c>
      <c r="M234" t="str">
        <f>"monthly transfer"</f>
        <v>monthly transfer</v>
      </c>
      <c r="N234" t="str">
        <f>"CAESAR @ ABDU"</f>
        <v>CAESAR @ ABDU</v>
      </c>
      <c r="O234" t="str">
        <f>"RHB BANK"</f>
        <v>RHB BANK</v>
      </c>
      <c r="P234" t="str">
        <f>"RHBBMYKL"</f>
        <v>RHBBMYKL</v>
      </c>
      <c r="Q234" t="str">
        <f t="shared" si="49"/>
        <v>NIL</v>
      </c>
      <c r="R234" t="str">
        <f>"NIL"</f>
        <v>NIL</v>
      </c>
      <c r="S234" t="str">
        <f>"iPAY to CAESAR @ ABDU (RHB BANK: 10107100489700)"</f>
        <v>iPAY to CAESAR @ ABDU (RHB BANK: 10107100489700)</v>
      </c>
      <c r="T234" t="str">
        <f t="shared" si="41"/>
        <v>2014-01-27</v>
      </c>
      <c r="U234" t="s">
        <v>34</v>
      </c>
      <c r="V234" t="str">
        <f>"System error"</f>
        <v>System error</v>
      </c>
      <c r="W234" t="str">
        <f>"NIL"</f>
        <v>NIL</v>
      </c>
      <c r="X234" t="str">
        <f>"175.136.167.31"</f>
        <v>175.136.167.31</v>
      </c>
    </row>
    <row r="235" spans="1:24">
      <c r="A235" t="s">
        <v>258</v>
      </c>
      <c r="B235" t="str">
        <f>"27/01/2014 14:19:09"</f>
        <v>27/01/2014 14:19:09</v>
      </c>
      <c r="C235" t="str">
        <f>"56258"</f>
        <v>56258</v>
      </c>
      <c r="D235" t="str">
        <f>"hnhamzah"</f>
        <v>hnhamzah</v>
      </c>
      <c r="E235" t="str">
        <f>"HAIRIL NIZAM BIN HAMZAH"</f>
        <v>HAIRIL NIZAM BIN HAMZAH</v>
      </c>
      <c r="F235" t="str">
        <f>"001103022903"</f>
        <v>001103022903</v>
      </c>
      <c r="G235" t="str">
        <f>"514329058255"</f>
        <v>514329058255</v>
      </c>
      <c r="H235" t="str">
        <f t="shared" si="47"/>
        <v>MYR</v>
      </c>
      <c r="I235" t="str">
        <f t="shared" si="47"/>
        <v>MYR</v>
      </c>
      <c r="J235" t="str">
        <f>"2013-02-15"</f>
        <v>2013-02-15</v>
      </c>
      <c r="K235" t="str">
        <f>"5000.00"</f>
        <v>5000.00</v>
      </c>
      <c r="L235" t="str">
        <f>"5000.00"</f>
        <v>5000.00</v>
      </c>
      <c r="M235" t="str">
        <f>"NIL"</f>
        <v>NIL</v>
      </c>
      <c r="N235" t="str">
        <f>"HAIRIL NIZAM BIN HAM"</f>
        <v>HAIRIL NIZAM BIN HAM</v>
      </c>
      <c r="O235" t="str">
        <f>"MAYBANK"</f>
        <v>MAYBANK</v>
      </c>
      <c r="P235" t="str">
        <f>"MBBEMYKL"</f>
        <v>MBBEMYKL</v>
      </c>
      <c r="Q235" t="str">
        <f t="shared" si="49"/>
        <v>NIL</v>
      </c>
      <c r="R235" t="str">
        <f>"hnhamzah@gmail.com"</f>
        <v>hnhamzah@gmail.com</v>
      </c>
      <c r="S235" t="str">
        <f>"iPAY to HAIRIL NIZAM BIN HAM (MAYBANK: 514329058255) (Ref No: 270114158653)"</f>
        <v>iPAY to HAIRIL NIZAM BIN HAM (MAYBANK: 514329058255) (Ref No: 270114158653)</v>
      </c>
      <c r="T235" t="str">
        <f t="shared" si="41"/>
        <v>2014-01-27</v>
      </c>
      <c r="U235" t="s">
        <v>32</v>
      </c>
      <c r="V235" t="str">
        <f>"Successful"</f>
        <v>Successful</v>
      </c>
      <c r="W235" t="str">
        <f>"270114158653"</f>
        <v>270114158653</v>
      </c>
      <c r="X235" t="str">
        <f>"203.217.176.81"</f>
        <v>203.217.176.81</v>
      </c>
    </row>
    <row r="236" spans="1:24">
      <c r="A236" t="s">
        <v>259</v>
      </c>
      <c r="B236" t="str">
        <f>"27/01/2014 14:23:15"</f>
        <v>27/01/2014 14:23:15</v>
      </c>
      <c r="C236" t="str">
        <f>"8583"</f>
        <v>8583</v>
      </c>
      <c r="D236" t="str">
        <f>"mohdhamizane"</f>
        <v>mohdhamizane</v>
      </c>
      <c r="E236" t="str">
        <f>"MOHD HAMIZANE BIN MOHD ARIFFIN"</f>
        <v>MOHD HAMIZANE BIN MOHD ARIFFIN</v>
      </c>
      <c r="F236" t="str">
        <f>"001103003208"</f>
        <v>001103003208</v>
      </c>
      <c r="G236" t="str">
        <f>"164388731931"</f>
        <v>164388731931</v>
      </c>
      <c r="H236" t="str">
        <f t="shared" si="47"/>
        <v>MYR</v>
      </c>
      <c r="I236" t="str">
        <f t="shared" si="47"/>
        <v>MYR</v>
      </c>
      <c r="J236" t="str">
        <f>"2010-12-28"</f>
        <v>2010-12-28</v>
      </c>
      <c r="K236" t="str">
        <f>"250.00"</f>
        <v>250.00</v>
      </c>
      <c r="L236" t="str">
        <f>"250.00"</f>
        <v>250.00</v>
      </c>
      <c r="M236" t="str">
        <f>"NIL"</f>
        <v>NIL</v>
      </c>
      <c r="N236" t="str">
        <f>"ERA ADLINA BINTI A K"</f>
        <v>ERA ADLINA BINTI A K</v>
      </c>
      <c r="O236" t="str">
        <f>"MAYBANK"</f>
        <v>MAYBANK</v>
      </c>
      <c r="P236" t="str">
        <f>"MBBEMYKL"</f>
        <v>MBBEMYKL</v>
      </c>
      <c r="Q236" t="str">
        <f t="shared" si="49"/>
        <v>NIL</v>
      </c>
      <c r="R236" t="str">
        <f>"era.adlina77@gmail.com"</f>
        <v>era.adlina77@gmail.com</v>
      </c>
      <c r="S236" t="str">
        <f>"iPAY to ERA ADLINA BINTI A K (MAYBANK: 164388731931) (Ref No: 270114158656)"</f>
        <v>iPAY to ERA ADLINA BINTI A K (MAYBANK: 164388731931) (Ref No: 270114158656)</v>
      </c>
      <c r="T236" t="str">
        <f t="shared" si="41"/>
        <v>2014-01-27</v>
      </c>
      <c r="U236" t="s">
        <v>32</v>
      </c>
      <c r="V236" t="str">
        <f>"Successful"</f>
        <v>Successful</v>
      </c>
      <c r="W236" t="str">
        <f>"270114158656"</f>
        <v>270114158656</v>
      </c>
      <c r="X236" t="str">
        <f>"219.93.33.173"</f>
        <v>219.93.33.173</v>
      </c>
    </row>
    <row r="237" spans="1:24">
      <c r="A237" t="s">
        <v>260</v>
      </c>
      <c r="B237" t="str">
        <f>"27/01/2014 14:24:12"</f>
        <v>27/01/2014 14:24:12</v>
      </c>
      <c r="C237" t="str">
        <f>"11786"</f>
        <v>11786</v>
      </c>
      <c r="D237" t="str">
        <f>"saranadeea"</f>
        <v>saranadeea</v>
      </c>
      <c r="E237" t="str">
        <f>"SARA NADEEA BINTI RAHIM"</f>
        <v>SARA NADEEA BINTI RAHIM</v>
      </c>
      <c r="F237" t="str">
        <f>"001102026589"</f>
        <v>001102026589</v>
      </c>
      <c r="G237" t="str">
        <f>"01060062549526"</f>
        <v>01060062549526</v>
      </c>
      <c r="H237" t="str">
        <f t="shared" si="47"/>
        <v>MYR</v>
      </c>
      <c r="I237" t="str">
        <f t="shared" si="47"/>
        <v>MYR</v>
      </c>
      <c r="J237" t="str">
        <f>"NIL"</f>
        <v>NIL</v>
      </c>
      <c r="K237" t="str">
        <f>"200.00"</f>
        <v>200.00</v>
      </c>
      <c r="L237" t="str">
        <f>"200.00"</f>
        <v>200.00</v>
      </c>
      <c r="M237" t="str">
        <f>"NIL"</f>
        <v>NIL</v>
      </c>
      <c r="N237" t="str">
        <f>"SARA NADEEA B"</f>
        <v>SARA NADEEA B</v>
      </c>
      <c r="O237" t="str">
        <f>"CIMB BANK"</f>
        <v>CIMB BANK</v>
      </c>
      <c r="P237" t="str">
        <f>"CIBBMYKL"</f>
        <v>CIBBMYKL</v>
      </c>
      <c r="Q237" t="str">
        <f t="shared" si="49"/>
        <v>NIL</v>
      </c>
      <c r="R237" t="str">
        <f>"saranadeea@gmail.com"</f>
        <v>saranadeea@gmail.com</v>
      </c>
      <c r="S237" t="str">
        <f>"iPAY to SARA NADEEA B (CIMB BANK: 01060062549526)"</f>
        <v>iPAY to SARA NADEEA B (CIMB BANK: 01060062549526)</v>
      </c>
      <c r="T237" t="str">
        <f t="shared" si="41"/>
        <v>2014-01-27</v>
      </c>
      <c r="U237" t="s">
        <v>34</v>
      </c>
      <c r="V237" t="str">
        <f>"System error"</f>
        <v>System error</v>
      </c>
      <c r="W237" t="str">
        <f>"NIL"</f>
        <v>NIL</v>
      </c>
      <c r="X237" t="str">
        <f>"120.140.233.78"</f>
        <v>120.140.233.78</v>
      </c>
    </row>
    <row r="238" spans="1:24">
      <c r="A238" t="s">
        <v>261</v>
      </c>
      <c r="B238" t="str">
        <f>"27/01/2014 14:25:55"</f>
        <v>27/01/2014 14:25:55</v>
      </c>
      <c r="C238" t="str">
        <f>"779"</f>
        <v>779</v>
      </c>
      <c r="D238" t="str">
        <f>"norehamuda"</f>
        <v>norehamuda</v>
      </c>
      <c r="E238" t="str">
        <f>"NOREHA BINTI MUDA"</f>
        <v>NOREHA BINTI MUDA</v>
      </c>
      <c r="F238" t="str">
        <f>"011020004291"</f>
        <v>011020004291</v>
      </c>
      <c r="G238" t="str">
        <f>"014150319549"</f>
        <v>014150319549</v>
      </c>
      <c r="H238" t="str">
        <f t="shared" si="47"/>
        <v>MYR</v>
      </c>
      <c r="I238" t="str">
        <f t="shared" si="47"/>
        <v>MYR</v>
      </c>
      <c r="J238" t="str">
        <f>"2007-03-20"</f>
        <v>2007-03-20</v>
      </c>
      <c r="K238" t="str">
        <f>"3000.00"</f>
        <v>3000.00</v>
      </c>
      <c r="L238" t="str">
        <f>"3000.00"</f>
        <v>3000.00</v>
      </c>
      <c r="M238" t="str">
        <f>"NIL"</f>
        <v>NIL</v>
      </c>
      <c r="N238" t="str">
        <f>"NOREHA BINTI MUDA"</f>
        <v>NOREHA BINTI MUDA</v>
      </c>
      <c r="O238" t="str">
        <f>"MAYBANK"</f>
        <v>MAYBANK</v>
      </c>
      <c r="P238" t="str">
        <f>"MBBEMYKL"</f>
        <v>MBBEMYKL</v>
      </c>
      <c r="Q238" t="str">
        <f t="shared" si="49"/>
        <v>NIL</v>
      </c>
      <c r="R238" t="str">
        <f>"noreha.muda@kfh.com.my"</f>
        <v>noreha.muda@kfh.com.my</v>
      </c>
      <c r="S238" t="str">
        <f>"iPAY to NOREHA BINTI MUDA (MAYBANK: 014150319549) (Ref No: 270114158660)"</f>
        <v>iPAY to NOREHA BINTI MUDA (MAYBANK: 014150319549) (Ref No: 270114158660)</v>
      </c>
      <c r="T238" t="str">
        <f t="shared" si="41"/>
        <v>2014-01-27</v>
      </c>
      <c r="U238" t="s">
        <v>32</v>
      </c>
      <c r="V238" t="str">
        <f>"Successful"</f>
        <v>Successful</v>
      </c>
      <c r="W238" t="str">
        <f>"270114158660"</f>
        <v>270114158660</v>
      </c>
      <c r="X238" t="str">
        <f t="shared" ref="X238:X249" si="50">"219.93.33.173"</f>
        <v>219.93.33.173</v>
      </c>
    </row>
    <row r="239" spans="1:24">
      <c r="A239" t="s">
        <v>262</v>
      </c>
      <c r="B239" t="str">
        <f>"27/01/2014 14:31:59"</f>
        <v>27/01/2014 14:31:59</v>
      </c>
      <c r="C239" t="str">
        <f>"8720"</f>
        <v>8720</v>
      </c>
      <c r="D239" t="str">
        <f>"michellegywong81"</f>
        <v>michellegywong81</v>
      </c>
      <c r="E239" t="str">
        <f>"WONG GUAN YEE"</f>
        <v>WONG GUAN YEE</v>
      </c>
      <c r="F239" t="str">
        <f>"001103015273"</f>
        <v>001103015273</v>
      </c>
      <c r="G239" t="str">
        <f>"114290060670"</f>
        <v>114290060670</v>
      </c>
      <c r="H239" t="str">
        <f t="shared" si="47"/>
        <v>MYR</v>
      </c>
      <c r="I239" t="str">
        <f t="shared" si="47"/>
        <v>MYR</v>
      </c>
      <c r="J239" t="str">
        <f>"NIL"</f>
        <v>NIL</v>
      </c>
      <c r="K239" t="str">
        <f>"1140.00"</f>
        <v>1140.00</v>
      </c>
      <c r="L239" t="str">
        <f>"1140.00"</f>
        <v>1140.00</v>
      </c>
      <c r="M239" t="str">
        <f>"tt to mbb"</f>
        <v>tt to mbb</v>
      </c>
      <c r="N239" t="str">
        <f>"WONG GUAN YEE"</f>
        <v>WONG GUAN YEE</v>
      </c>
      <c r="O239" t="str">
        <f>"MAYBANK"</f>
        <v>MAYBANK</v>
      </c>
      <c r="P239" t="str">
        <f>"MBBEMYKL"</f>
        <v>MBBEMYKL</v>
      </c>
      <c r="Q239" t="str">
        <f>"ttjan14"</f>
        <v>ttjan14</v>
      </c>
      <c r="R239" t="str">
        <f>"michelle.wong@kfh.com.my"</f>
        <v>michelle.wong@kfh.com.my</v>
      </c>
      <c r="S239" t="str">
        <f>"iPAY to WONG GUAN YEE (MAYBANK: 114290060670)"</f>
        <v>iPAY to WONG GUAN YEE (MAYBANK: 114290060670)</v>
      </c>
      <c r="T239" t="str">
        <f t="shared" si="41"/>
        <v>2014-01-27</v>
      </c>
      <c r="U239" t="s">
        <v>34</v>
      </c>
      <c r="V239" t="str">
        <f>"System error"</f>
        <v>System error</v>
      </c>
      <c r="W239" t="str">
        <f>"NIL"</f>
        <v>NIL</v>
      </c>
      <c r="X239" t="str">
        <f t="shared" si="50"/>
        <v>219.93.33.173</v>
      </c>
    </row>
    <row r="240" spans="1:24">
      <c r="A240" t="s">
        <v>263</v>
      </c>
      <c r="B240" t="str">
        <f>"27/01/2014 14:32:08"</f>
        <v>27/01/2014 14:32:08</v>
      </c>
      <c r="C240" t="str">
        <f>"3603"</f>
        <v>3603</v>
      </c>
      <c r="D240" t="str">
        <f>"siti1971"</f>
        <v>siti1971</v>
      </c>
      <c r="E240" t="str">
        <f>"SITI SURIANI BINTI AHMAD"</f>
        <v>SITI SURIANI BINTI AHMAD</v>
      </c>
      <c r="F240" t="str">
        <f>"006101000094"</f>
        <v>006101000094</v>
      </c>
      <c r="G240" t="str">
        <f>"12260078460521"</f>
        <v>12260078460521</v>
      </c>
      <c r="H240" t="str">
        <f t="shared" si="47"/>
        <v>MYR</v>
      </c>
      <c r="I240" t="str">
        <f t="shared" si="47"/>
        <v>MYR</v>
      </c>
      <c r="J240" t="str">
        <f>"NIL"</f>
        <v>NIL</v>
      </c>
      <c r="K240" t="str">
        <f>"2000.00"</f>
        <v>2000.00</v>
      </c>
      <c r="L240" t="str">
        <f>"2000.00"</f>
        <v>2000.00</v>
      </c>
      <c r="M240" t="str">
        <f>"jaja"</f>
        <v>jaja</v>
      </c>
      <c r="N240" t="str">
        <f>"SAIFULLIZAM B"</f>
        <v>SAIFULLIZAM B</v>
      </c>
      <c r="O240" t="str">
        <f>"CIMB BANK"</f>
        <v>CIMB BANK</v>
      </c>
      <c r="P240" t="str">
        <f>"CIBBMYKL"</f>
        <v>CIBBMYKL</v>
      </c>
      <c r="Q240" t="str">
        <f>"jaja"</f>
        <v>jaja</v>
      </c>
      <c r="R240" t="str">
        <f>"NIL"</f>
        <v>NIL</v>
      </c>
      <c r="S240" t="str">
        <f>"iPAY to SAIFULLIZAM B (CIMB BANK: 12260078460521)"</f>
        <v>iPAY to SAIFULLIZAM B (CIMB BANK: 12260078460521)</v>
      </c>
      <c r="T240" t="str">
        <f t="shared" si="41"/>
        <v>2014-01-27</v>
      </c>
      <c r="U240" t="s">
        <v>34</v>
      </c>
      <c r="V240" t="str">
        <f>"System error"</f>
        <v>System error</v>
      </c>
      <c r="W240" t="str">
        <f>"NIL"</f>
        <v>NIL</v>
      </c>
      <c r="X240" t="str">
        <f t="shared" si="50"/>
        <v>219.93.33.173</v>
      </c>
    </row>
    <row r="241" spans="1:24">
      <c r="A241" t="s">
        <v>264</v>
      </c>
      <c r="B241" t="str">
        <f>"27/01/2014 14:32:23"</f>
        <v>27/01/2014 14:32:23</v>
      </c>
      <c r="C241" t="str">
        <f>"1633"</f>
        <v>1633</v>
      </c>
      <c r="D241" t="str">
        <f>"wanrazalli"</f>
        <v>wanrazalli</v>
      </c>
      <c r="E241" t="str">
        <f>"WAN RAZALLI BIN WAN MOHAMAD RADZI"</f>
        <v>WAN RAZALLI BIN WAN MOHAMAD RADZI</v>
      </c>
      <c r="F241" t="str">
        <f>"001102007347"</f>
        <v>001102007347</v>
      </c>
      <c r="G241" t="str">
        <f>"105056087230"</f>
        <v>105056087230</v>
      </c>
      <c r="H241" t="str">
        <f t="shared" si="47"/>
        <v>MYR</v>
      </c>
      <c r="I241" t="str">
        <f t="shared" si="47"/>
        <v>MYR</v>
      </c>
      <c r="J241" t="str">
        <f>"2008-05-05"</f>
        <v>2008-05-05</v>
      </c>
      <c r="K241" t="str">
        <f>"500.00"</f>
        <v>500.00</v>
      </c>
      <c r="L241" t="str">
        <f>"500.00"</f>
        <v>500.00</v>
      </c>
      <c r="M241" t="str">
        <f>"NIL"</f>
        <v>NIL</v>
      </c>
      <c r="N241" t="str">
        <f>"LOO CHAI HWA"</f>
        <v>LOO CHAI HWA</v>
      </c>
      <c r="O241" t="str">
        <f>"MAYBANK"</f>
        <v>MAYBANK</v>
      </c>
      <c r="P241" t="str">
        <f>"MBBEMYKL"</f>
        <v>MBBEMYKL</v>
      </c>
      <c r="Q241" t="str">
        <f>"NIL"</f>
        <v>NIL</v>
      </c>
      <c r="R241" t="str">
        <f>"NIL"</f>
        <v>NIL</v>
      </c>
      <c r="S241" t="str">
        <f>"iPAY to LOO CHAI HWA (MAYBANK: 105056087230) (Ref No: 270114158667)"</f>
        <v>iPAY to LOO CHAI HWA (MAYBANK: 105056087230) (Ref No: 270114158667)</v>
      </c>
      <c r="T241" t="str">
        <f t="shared" si="41"/>
        <v>2014-01-27</v>
      </c>
      <c r="U241" t="s">
        <v>32</v>
      </c>
      <c r="V241" t="str">
        <f t="shared" ref="V241:V246" si="51">"Successful"</f>
        <v>Successful</v>
      </c>
      <c r="W241" t="str">
        <f>"270114158667"</f>
        <v>270114158667</v>
      </c>
      <c r="X241" t="str">
        <f t="shared" si="50"/>
        <v>219.93.33.173</v>
      </c>
    </row>
    <row r="242" spans="1:24">
      <c r="A242" t="s">
        <v>265</v>
      </c>
      <c r="B242" t="str">
        <f>"27/01/2014 14:33:10"</f>
        <v>27/01/2014 14:33:10</v>
      </c>
      <c r="C242" t="str">
        <f>"3603"</f>
        <v>3603</v>
      </c>
      <c r="D242" t="str">
        <f>"siti1971"</f>
        <v>siti1971</v>
      </c>
      <c r="E242" t="str">
        <f>"SITI SURIANI BINTI AHMAD"</f>
        <v>SITI SURIANI BINTI AHMAD</v>
      </c>
      <c r="F242" t="str">
        <f>"006101000094"</f>
        <v>006101000094</v>
      </c>
      <c r="G242" t="str">
        <f>"12260078460521"</f>
        <v>12260078460521</v>
      </c>
      <c r="H242" t="str">
        <f t="shared" si="47"/>
        <v>MYR</v>
      </c>
      <c r="I242" t="str">
        <f t="shared" si="47"/>
        <v>MYR</v>
      </c>
      <c r="J242" t="str">
        <f>"2009-02-23"</f>
        <v>2009-02-23</v>
      </c>
      <c r="K242" t="str">
        <f>"2000.00"</f>
        <v>2000.00</v>
      </c>
      <c r="L242" t="str">
        <f>"2000.00"</f>
        <v>2000.00</v>
      </c>
      <c r="M242" t="str">
        <f>"jaja"</f>
        <v>jaja</v>
      </c>
      <c r="N242" t="str">
        <f>"SAIFULLIZAM B"</f>
        <v>SAIFULLIZAM B</v>
      </c>
      <c r="O242" t="str">
        <f>"CIMB BANK"</f>
        <v>CIMB BANK</v>
      </c>
      <c r="P242" t="str">
        <f>"CIBBMYKL"</f>
        <v>CIBBMYKL</v>
      </c>
      <c r="Q242" t="str">
        <f>"jaja"</f>
        <v>jaja</v>
      </c>
      <c r="R242" t="str">
        <f>"NIL"</f>
        <v>NIL</v>
      </c>
      <c r="S242" t="str">
        <f>"iPAY to SAIFULLIZAM B (CIMB BANK: 12260078460521) (Ref No: 270114158669)"</f>
        <v>iPAY to SAIFULLIZAM B (CIMB BANK: 12260078460521) (Ref No: 270114158669)</v>
      </c>
      <c r="T242" t="str">
        <f t="shared" si="41"/>
        <v>2014-01-27</v>
      </c>
      <c r="U242" t="s">
        <v>32</v>
      </c>
      <c r="V242" t="str">
        <f t="shared" si="51"/>
        <v>Successful</v>
      </c>
      <c r="W242" t="str">
        <f>"270114158669"</f>
        <v>270114158669</v>
      </c>
      <c r="X242" t="str">
        <f t="shared" si="50"/>
        <v>219.93.33.173</v>
      </c>
    </row>
    <row r="243" spans="1:24">
      <c r="A243" t="s">
        <v>266</v>
      </c>
      <c r="B243" t="str">
        <f>"27/01/2014 14:34:06"</f>
        <v>27/01/2014 14:34:06</v>
      </c>
      <c r="C243" t="str">
        <f>"1633"</f>
        <v>1633</v>
      </c>
      <c r="D243" t="str">
        <f>"wanrazalli"</f>
        <v>wanrazalli</v>
      </c>
      <c r="E243" t="str">
        <f>"WAN RAZALLI BIN WAN MOHAMAD RADZI"</f>
        <v>WAN RAZALLI BIN WAN MOHAMAD RADZI</v>
      </c>
      <c r="F243" t="str">
        <f>"001102007347"</f>
        <v>001102007347</v>
      </c>
      <c r="G243" t="str">
        <f>"114012052088"</f>
        <v>114012052088</v>
      </c>
      <c r="H243" t="str">
        <f t="shared" si="47"/>
        <v>MYR</v>
      </c>
      <c r="I243" t="str">
        <f t="shared" si="47"/>
        <v>MYR</v>
      </c>
      <c r="J243" t="str">
        <f>"2008-05-05"</f>
        <v>2008-05-05</v>
      </c>
      <c r="K243" t="str">
        <f>"500.00"</f>
        <v>500.00</v>
      </c>
      <c r="L243" t="str">
        <f>"500.00"</f>
        <v>500.00</v>
      </c>
      <c r="M243" t="str">
        <f>"NIL"</f>
        <v>NIL</v>
      </c>
      <c r="N243" t="str">
        <f>"S NITHYANATHAN A/L S"</f>
        <v>S NITHYANATHAN A/L S</v>
      </c>
      <c r="O243" t="str">
        <f>"MAYBANK"</f>
        <v>MAYBANK</v>
      </c>
      <c r="P243" t="str">
        <f>"MBBEMYKL"</f>
        <v>MBBEMYKL</v>
      </c>
      <c r="Q243" t="str">
        <f>"NIL"</f>
        <v>NIL</v>
      </c>
      <c r="R243" t="str">
        <f>"NIL"</f>
        <v>NIL</v>
      </c>
      <c r="S243" t="str">
        <f>"iPAY to S NITHYANATHAN A/L S (MAYBANK: 114012052088) (Ref No: 270114158672)"</f>
        <v>iPAY to S NITHYANATHAN A/L S (MAYBANK: 114012052088) (Ref No: 270114158672)</v>
      </c>
      <c r="T243" t="str">
        <f t="shared" si="41"/>
        <v>2014-01-27</v>
      </c>
      <c r="U243" t="s">
        <v>32</v>
      </c>
      <c r="V243" t="str">
        <f t="shared" si="51"/>
        <v>Successful</v>
      </c>
      <c r="W243" t="str">
        <f>"270114158672"</f>
        <v>270114158672</v>
      </c>
      <c r="X243" t="str">
        <f t="shared" si="50"/>
        <v>219.93.33.173</v>
      </c>
    </row>
    <row r="244" spans="1:24">
      <c r="A244" t="s">
        <v>267</v>
      </c>
      <c r="B244" t="str">
        <f>"27/01/2014 14:37:05"</f>
        <v>27/01/2014 14:37:05</v>
      </c>
      <c r="C244" t="str">
        <f>"8720"</f>
        <v>8720</v>
      </c>
      <c r="D244" t="str">
        <f>"michellegywong81"</f>
        <v>michellegywong81</v>
      </c>
      <c r="E244" t="str">
        <f>"WONG GUAN YEE"</f>
        <v>WONG GUAN YEE</v>
      </c>
      <c r="F244" t="str">
        <f>"001103015273"</f>
        <v>001103015273</v>
      </c>
      <c r="G244" t="str">
        <f>"114290060670"</f>
        <v>114290060670</v>
      </c>
      <c r="H244" t="str">
        <f t="shared" si="47"/>
        <v>MYR</v>
      </c>
      <c r="I244" t="str">
        <f t="shared" si="47"/>
        <v>MYR</v>
      </c>
      <c r="J244" t="str">
        <f>"2012-02-02"</f>
        <v>2012-02-02</v>
      </c>
      <c r="K244" t="str">
        <f>"1140.00"</f>
        <v>1140.00</v>
      </c>
      <c r="L244" t="str">
        <f>"1140.00"</f>
        <v>1140.00</v>
      </c>
      <c r="M244" t="str">
        <f>"tt to mbb"</f>
        <v>tt to mbb</v>
      </c>
      <c r="N244" t="str">
        <f>"WONG GUAN YEE"</f>
        <v>WONG GUAN YEE</v>
      </c>
      <c r="O244" t="str">
        <f>"MAYBANK"</f>
        <v>MAYBANK</v>
      </c>
      <c r="P244" t="str">
        <f>"MBBEMYKL"</f>
        <v>MBBEMYKL</v>
      </c>
      <c r="Q244" t="str">
        <f>"ttjan14"</f>
        <v>ttjan14</v>
      </c>
      <c r="R244" t="str">
        <f>"michelle.wong@kfh.com.my"</f>
        <v>michelle.wong@kfh.com.my</v>
      </c>
      <c r="S244" t="str">
        <f>"iPAY to WONG GUAN YEE (MAYBANK: 114290060670) (Ref No: 270114158673)"</f>
        <v>iPAY to WONG GUAN YEE (MAYBANK: 114290060670) (Ref No: 270114158673)</v>
      </c>
      <c r="T244" t="str">
        <f t="shared" si="41"/>
        <v>2014-01-27</v>
      </c>
      <c r="U244" t="s">
        <v>32</v>
      </c>
      <c r="V244" t="str">
        <f t="shared" si="51"/>
        <v>Successful</v>
      </c>
      <c r="W244" t="str">
        <f>"270114158673"</f>
        <v>270114158673</v>
      </c>
      <c r="X244" t="str">
        <f t="shared" si="50"/>
        <v>219.93.33.173</v>
      </c>
    </row>
    <row r="245" spans="1:24">
      <c r="A245" t="s">
        <v>268</v>
      </c>
      <c r="B245" t="str">
        <f>"27/01/2014 14:37:50"</f>
        <v>27/01/2014 14:37:50</v>
      </c>
      <c r="C245" t="str">
        <f>"18720"</f>
        <v>18720</v>
      </c>
      <c r="D245" t="str">
        <f>"synelia"</f>
        <v>synelia</v>
      </c>
      <c r="E245" t="str">
        <f>"MICHELLE SYNELIA INDIK @ INDI"</f>
        <v>MICHELLE SYNELIA INDIK @ INDI</v>
      </c>
      <c r="F245" t="str">
        <f>"007102006554"</f>
        <v>007102006554</v>
      </c>
      <c r="G245" t="str">
        <f>"111075187666"</f>
        <v>111075187666</v>
      </c>
      <c r="H245" t="str">
        <f t="shared" si="47"/>
        <v>MYR</v>
      </c>
      <c r="I245" t="str">
        <f t="shared" si="47"/>
        <v>MYR</v>
      </c>
      <c r="J245" t="str">
        <f>"2011-08-22"</f>
        <v>2011-08-22</v>
      </c>
      <c r="K245" t="str">
        <f>"750.00"</f>
        <v>750.00</v>
      </c>
      <c r="L245" t="str">
        <f>"750.00"</f>
        <v>750.00</v>
      </c>
      <c r="M245" t="str">
        <f>"NIL"</f>
        <v>NIL</v>
      </c>
      <c r="N245" t="str">
        <f>"SUSELIA INDIK"</f>
        <v>SUSELIA INDIK</v>
      </c>
      <c r="O245" t="str">
        <f>"MAYBANK"</f>
        <v>MAYBANK</v>
      </c>
      <c r="P245" t="str">
        <f>"MBBEMYKL"</f>
        <v>MBBEMYKL</v>
      </c>
      <c r="Q245" t="str">
        <f>"NIL"</f>
        <v>NIL</v>
      </c>
      <c r="R245" t="str">
        <f>"NIL"</f>
        <v>NIL</v>
      </c>
      <c r="S245" t="str">
        <f>"iPAY to SUSELIA INDIK (MAYBANK: 111075187666) (Ref No: 270114158676)"</f>
        <v>iPAY to SUSELIA INDIK (MAYBANK: 111075187666) (Ref No: 270114158676)</v>
      </c>
      <c r="T245" t="str">
        <f t="shared" si="41"/>
        <v>2014-01-27</v>
      </c>
      <c r="U245" t="s">
        <v>32</v>
      </c>
      <c r="V245" t="str">
        <f t="shared" si="51"/>
        <v>Successful</v>
      </c>
      <c r="W245" t="str">
        <f>"270114158676"</f>
        <v>270114158676</v>
      </c>
      <c r="X245" t="str">
        <f t="shared" si="50"/>
        <v>219.93.33.173</v>
      </c>
    </row>
    <row r="246" spans="1:24">
      <c r="A246" t="s">
        <v>269</v>
      </c>
      <c r="B246" t="str">
        <f>"27/01/2014 14:38:44"</f>
        <v>27/01/2014 14:38:44</v>
      </c>
      <c r="C246" t="str">
        <f>"3603"</f>
        <v>3603</v>
      </c>
      <c r="D246" t="str">
        <f>"siti1971"</f>
        <v>siti1971</v>
      </c>
      <c r="E246" t="str">
        <f>"SITI SURIANI BINTI AHMAD"</f>
        <v>SITI SURIANI BINTI AHMAD</v>
      </c>
      <c r="F246" t="str">
        <f>"006101000094"</f>
        <v>006101000094</v>
      </c>
      <c r="G246" t="str">
        <f>"885827090690010"</f>
        <v>885827090690010</v>
      </c>
      <c r="H246" t="str">
        <f t="shared" si="47"/>
        <v>MYR</v>
      </c>
      <c r="I246" t="str">
        <f t="shared" si="47"/>
        <v>MYR</v>
      </c>
      <c r="J246" t="str">
        <f>"2009-02-23"</f>
        <v>2009-02-23</v>
      </c>
      <c r="K246" t="str">
        <f>"500.00"</f>
        <v>500.00</v>
      </c>
      <c r="L246" t="str">
        <f>"500.00"</f>
        <v>500.00</v>
      </c>
      <c r="M246" t="str">
        <f>"BKJ871"</f>
        <v>BKJ871</v>
      </c>
      <c r="N246" t="str">
        <f>"SITI SURIANI BINTI AHMAD"</f>
        <v>SITI SURIANI BINTI AHMAD</v>
      </c>
      <c r="O246" t="str">
        <f>"PUBLIC BANK"</f>
        <v>PUBLIC BANK</v>
      </c>
      <c r="P246" t="str">
        <f>"PBBEMYKL"</f>
        <v>PBBEMYKL</v>
      </c>
      <c r="Q246" t="str">
        <f>"BKJ871"</f>
        <v>BKJ871</v>
      </c>
      <c r="R246" t="str">
        <f>"siti.suriani@gmail.com"</f>
        <v>siti.suriani@gmail.com</v>
      </c>
      <c r="S246" t="str">
        <f>"iPAY to SITI SURIANI BINTI AHMAD (PUBLIC BANK: 885827090690010) (Ref No: 270114158679)"</f>
        <v>iPAY to SITI SURIANI BINTI AHMAD (PUBLIC BANK: 885827090690010) (Ref No: 270114158679)</v>
      </c>
      <c r="T246" t="str">
        <f t="shared" si="41"/>
        <v>2014-01-27</v>
      </c>
      <c r="U246" t="s">
        <v>32</v>
      </c>
      <c r="V246" t="str">
        <f t="shared" si="51"/>
        <v>Successful</v>
      </c>
      <c r="W246" t="str">
        <f>"270114158679"</f>
        <v>270114158679</v>
      </c>
      <c r="X246" t="str">
        <f t="shared" si="50"/>
        <v>219.93.33.173</v>
      </c>
    </row>
    <row r="247" spans="1:24">
      <c r="A247" t="s">
        <v>270</v>
      </c>
      <c r="B247" t="str">
        <f>"27/01/2014 14:40:19"</f>
        <v>27/01/2014 14:40:19</v>
      </c>
      <c r="C247" t="str">
        <f>"3603"</f>
        <v>3603</v>
      </c>
      <c r="D247" t="str">
        <f>"siti1971"</f>
        <v>siti1971</v>
      </c>
      <c r="E247" t="str">
        <f>"SITI SURIANI BINTI AHMAD"</f>
        <v>SITI SURIANI BINTI AHMAD</v>
      </c>
      <c r="F247" t="str">
        <f>"006101000094"</f>
        <v>006101000094</v>
      </c>
      <c r="G247" t="str">
        <f>"164605021007"</f>
        <v>164605021007</v>
      </c>
      <c r="H247" t="str">
        <f t="shared" si="47"/>
        <v>MYR</v>
      </c>
      <c r="I247" t="str">
        <f t="shared" si="47"/>
        <v>MYR</v>
      </c>
      <c r="J247" t="str">
        <f>"NIL"</f>
        <v>NIL</v>
      </c>
      <c r="K247" t="str">
        <f>"600.00"</f>
        <v>600.00</v>
      </c>
      <c r="L247" t="str">
        <f>"600.00"</f>
        <v>600.00</v>
      </c>
      <c r="M247" t="str">
        <f t="shared" ref="M247:M253" si="52">"NIL"</f>
        <v>NIL</v>
      </c>
      <c r="N247" t="str">
        <f>"SITI SURIANI BT AHMA"</f>
        <v>SITI SURIANI BT AHMA</v>
      </c>
      <c r="O247" t="str">
        <f>"MAYBANK"</f>
        <v>MAYBANK</v>
      </c>
      <c r="P247" t="str">
        <f>"MBBEMYKL"</f>
        <v>MBBEMYKL</v>
      </c>
      <c r="Q247" t="str">
        <f>"suri puteri"</f>
        <v>suri puteri</v>
      </c>
      <c r="R247" t="str">
        <f>"siti.suriani@gmail.com"</f>
        <v>siti.suriani@gmail.com</v>
      </c>
      <c r="S247" t="str">
        <f>"iPAY to SITI SURIANI BT AHMA (MAYBANK: 164605021007)"</f>
        <v>iPAY to SITI SURIANI BT AHMA (MAYBANK: 164605021007)</v>
      </c>
      <c r="T247" t="str">
        <f t="shared" si="41"/>
        <v>2014-01-27</v>
      </c>
      <c r="U247" t="s">
        <v>34</v>
      </c>
      <c r="V247" t="str">
        <f>"System error"</f>
        <v>System error</v>
      </c>
      <c r="W247" t="str">
        <f>"NIL"</f>
        <v>NIL</v>
      </c>
      <c r="X247" t="str">
        <f t="shared" si="50"/>
        <v>219.93.33.173</v>
      </c>
    </row>
    <row r="248" spans="1:24">
      <c r="A248" t="s">
        <v>271</v>
      </c>
      <c r="B248" t="str">
        <f>"27/01/2014 14:42:23"</f>
        <v>27/01/2014 14:42:23</v>
      </c>
      <c r="C248" t="str">
        <f>"41339"</f>
        <v>41339</v>
      </c>
      <c r="D248" t="str">
        <f>"yati2007"</f>
        <v>yati2007</v>
      </c>
      <c r="E248" t="str">
        <f>"NORHAYATI BINTI MEHDZAR"</f>
        <v>NORHAYATI BINTI MEHDZAR</v>
      </c>
      <c r="F248" t="str">
        <f>"004102018549"</f>
        <v>004102018549</v>
      </c>
      <c r="G248" t="str">
        <f>"151557001893"</f>
        <v>151557001893</v>
      </c>
      <c r="H248" t="str">
        <f t="shared" si="47"/>
        <v>MYR</v>
      </c>
      <c r="I248" t="str">
        <f t="shared" si="47"/>
        <v>MYR</v>
      </c>
      <c r="J248" t="str">
        <f>"NIL"</f>
        <v>NIL</v>
      </c>
      <c r="K248" t="str">
        <f>"40.00"</f>
        <v>40.00</v>
      </c>
      <c r="L248" t="str">
        <f>"40.00"</f>
        <v>40.00</v>
      </c>
      <c r="M248" t="str">
        <f t="shared" si="52"/>
        <v>NIL</v>
      </c>
      <c r="N248" t="str">
        <f>"NORHAYATI BINTI MEHD"</f>
        <v>NORHAYATI BINTI MEHD</v>
      </c>
      <c r="O248" t="str">
        <f>"MAYBANK"</f>
        <v>MAYBANK</v>
      </c>
      <c r="P248" t="str">
        <f>"MBBEMYKL"</f>
        <v>MBBEMYKL</v>
      </c>
      <c r="Q248" t="str">
        <f t="shared" ref="Q248:Q253" si="53">"NIL"</f>
        <v>NIL</v>
      </c>
      <c r="R248" t="str">
        <f>"yati_y2k@hotmail.com"</f>
        <v>yati_y2k@hotmail.com</v>
      </c>
      <c r="S248" t="str">
        <f>"iPAY to NORHAYATI BINTI MEHD (MAYBANK: 151557001893)"</f>
        <v>iPAY to NORHAYATI BINTI MEHD (MAYBANK: 151557001893)</v>
      </c>
      <c r="T248" t="str">
        <f t="shared" si="41"/>
        <v>2014-01-27</v>
      </c>
      <c r="U248" t="s">
        <v>34</v>
      </c>
      <c r="V248" t="str">
        <f>"System error"</f>
        <v>System error</v>
      </c>
      <c r="W248" t="str">
        <f>"NIL"</f>
        <v>NIL</v>
      </c>
      <c r="X248" t="str">
        <f t="shared" si="50"/>
        <v>219.93.33.173</v>
      </c>
    </row>
    <row r="249" spans="1:24">
      <c r="A249" t="s">
        <v>272</v>
      </c>
      <c r="B249" t="str">
        <f>"27/01/2014 14:43:11"</f>
        <v>27/01/2014 14:43:11</v>
      </c>
      <c r="C249" t="str">
        <f>"41339"</f>
        <v>41339</v>
      </c>
      <c r="D249" t="str">
        <f>"yati2007"</f>
        <v>yati2007</v>
      </c>
      <c r="E249" t="str">
        <f>"NORHAYATI BINTI MEHDZAR"</f>
        <v>NORHAYATI BINTI MEHDZAR</v>
      </c>
      <c r="F249" t="str">
        <f>"004102018549"</f>
        <v>004102018549</v>
      </c>
      <c r="G249" t="str">
        <f>"151557001893"</f>
        <v>151557001893</v>
      </c>
      <c r="H249" t="str">
        <f t="shared" si="47"/>
        <v>MYR</v>
      </c>
      <c r="I249" t="str">
        <f t="shared" si="47"/>
        <v>MYR</v>
      </c>
      <c r="J249" t="str">
        <f>"2012-05-30"</f>
        <v>2012-05-30</v>
      </c>
      <c r="K249" t="str">
        <f>"40.00"</f>
        <v>40.00</v>
      </c>
      <c r="L249" t="str">
        <f>"40.00"</f>
        <v>40.00</v>
      </c>
      <c r="M249" t="str">
        <f t="shared" si="52"/>
        <v>NIL</v>
      </c>
      <c r="N249" t="str">
        <f>"NORHAYATI BINTI MEHD"</f>
        <v>NORHAYATI BINTI MEHD</v>
      </c>
      <c r="O249" t="str">
        <f>"MAYBANK"</f>
        <v>MAYBANK</v>
      </c>
      <c r="P249" t="str">
        <f>"MBBEMYKL"</f>
        <v>MBBEMYKL</v>
      </c>
      <c r="Q249" t="str">
        <f t="shared" si="53"/>
        <v>NIL</v>
      </c>
      <c r="R249" t="str">
        <f>"yati_y2k@hotmail.com"</f>
        <v>yati_y2k@hotmail.com</v>
      </c>
      <c r="S249" t="str">
        <f>"iPAY to NORHAYATI BINTI MEHD (MAYBANK: 151557001893) (Ref No: 270114158687)"</f>
        <v>iPAY to NORHAYATI BINTI MEHD (MAYBANK: 151557001893) (Ref No: 270114158687)</v>
      </c>
      <c r="T249" t="str">
        <f t="shared" si="41"/>
        <v>2014-01-27</v>
      </c>
      <c r="U249" t="s">
        <v>32</v>
      </c>
      <c r="V249" t="str">
        <f>"Successful"</f>
        <v>Successful</v>
      </c>
      <c r="W249" t="str">
        <f>"270114158687"</f>
        <v>270114158687</v>
      </c>
      <c r="X249" t="str">
        <f t="shared" si="50"/>
        <v>219.93.33.173</v>
      </c>
    </row>
    <row r="250" spans="1:24">
      <c r="A250" t="s">
        <v>273</v>
      </c>
      <c r="B250" t="str">
        <f>"27/01/2014 14:47:27"</f>
        <v>27/01/2014 14:47:27</v>
      </c>
      <c r="C250" t="str">
        <f>"10911"</f>
        <v>10911</v>
      </c>
      <c r="D250" t="str">
        <f>"wpcashe5200"</f>
        <v>wpcashe5200</v>
      </c>
      <c r="E250" t="str">
        <f>"SYAHIDA BINTI SAMAD"</f>
        <v>SYAHIDA BINTI SAMAD</v>
      </c>
      <c r="F250" t="str">
        <f>"006103001018"</f>
        <v>006103001018</v>
      </c>
      <c r="G250" t="str">
        <f>"162272659137"</f>
        <v>162272659137</v>
      </c>
      <c r="H250" t="str">
        <f t="shared" ref="H250:I269" si="54">"MYR"</f>
        <v>MYR</v>
      </c>
      <c r="I250" t="str">
        <f t="shared" si="54"/>
        <v>MYR</v>
      </c>
      <c r="J250" t="str">
        <f>"2011-04-21"</f>
        <v>2011-04-21</v>
      </c>
      <c r="K250" t="str">
        <f>"1838.00"</f>
        <v>1838.00</v>
      </c>
      <c r="L250" t="str">
        <f>"1838.00"</f>
        <v>1838.00</v>
      </c>
      <c r="M250" t="str">
        <f t="shared" si="52"/>
        <v>NIL</v>
      </c>
      <c r="N250" t="str">
        <f>"ROSNITA BINTI IBRAHI"</f>
        <v>ROSNITA BINTI IBRAHI</v>
      </c>
      <c r="O250" t="str">
        <f>"MAYBANK"</f>
        <v>MAYBANK</v>
      </c>
      <c r="P250" t="str">
        <f>"MBBEMYKL"</f>
        <v>MBBEMYKL</v>
      </c>
      <c r="Q250" t="str">
        <f t="shared" si="53"/>
        <v>NIL</v>
      </c>
      <c r="R250" t="str">
        <f>"sofea_8016@yahoo.com"</f>
        <v>sofea_8016@yahoo.com</v>
      </c>
      <c r="S250" t="str">
        <f>"iPAY to ROSNITA BINTI IBRAHI (MAYBANK: 162272659137) (Ref No: 270114158693)"</f>
        <v>iPAY to ROSNITA BINTI IBRAHI (MAYBANK: 162272659137) (Ref No: 270114158693)</v>
      </c>
      <c r="T250" t="str">
        <f t="shared" si="41"/>
        <v>2014-01-27</v>
      </c>
      <c r="U250" t="s">
        <v>32</v>
      </c>
      <c r="V250" t="str">
        <f>"Successful"</f>
        <v>Successful</v>
      </c>
      <c r="W250" t="str">
        <f>"270114158693"</f>
        <v>270114158693</v>
      </c>
      <c r="X250" t="str">
        <f>"210.195.104.52"</f>
        <v>210.195.104.52</v>
      </c>
    </row>
    <row r="251" spans="1:24">
      <c r="A251" t="s">
        <v>274</v>
      </c>
      <c r="B251" t="str">
        <f>"27/01/2014 14:48:08"</f>
        <v>27/01/2014 14:48:08</v>
      </c>
      <c r="C251" t="str">
        <f>"11726"</f>
        <v>11726</v>
      </c>
      <c r="D251" t="str">
        <f>"Aisha1812"</f>
        <v>Aisha1812</v>
      </c>
      <c r="E251" t="str">
        <f>"NURUL AISHA BINTI ISMAIL"</f>
        <v>NURUL AISHA BINTI ISMAIL</v>
      </c>
      <c r="F251" t="str">
        <f>"001103003968"</f>
        <v>001103003968</v>
      </c>
      <c r="G251" t="str">
        <f>"11050083088523"</f>
        <v>11050083088523</v>
      </c>
      <c r="H251" t="str">
        <f t="shared" si="54"/>
        <v>MYR</v>
      </c>
      <c r="I251" t="str">
        <f t="shared" si="54"/>
        <v>MYR</v>
      </c>
      <c r="J251" t="str">
        <f>"NIL"</f>
        <v>NIL</v>
      </c>
      <c r="K251" t="str">
        <f>"22.00"</f>
        <v>22.00</v>
      </c>
      <c r="L251" t="str">
        <f>"22.00"</f>
        <v>22.00</v>
      </c>
      <c r="M251" t="str">
        <f t="shared" si="52"/>
        <v>NIL</v>
      </c>
      <c r="N251" t="str">
        <f>"NURUL AISHA"</f>
        <v>NURUL AISHA</v>
      </c>
      <c r="O251" t="str">
        <f>"CIMB BANK"</f>
        <v>CIMB BANK</v>
      </c>
      <c r="P251" t="str">
        <f>"CIBBMYKL"</f>
        <v>CIBBMYKL</v>
      </c>
      <c r="Q251" t="str">
        <f t="shared" si="53"/>
        <v>NIL</v>
      </c>
      <c r="R251" t="str">
        <f>"NIL"</f>
        <v>NIL</v>
      </c>
      <c r="S251" t="str">
        <f>"iPAY to NURUL AISHA (CIMB BANK: 11050083088523)"</f>
        <v>iPAY to NURUL AISHA (CIMB BANK: 11050083088523)</v>
      </c>
      <c r="T251" t="str">
        <f t="shared" si="41"/>
        <v>2014-01-27</v>
      </c>
      <c r="U251" t="s">
        <v>34</v>
      </c>
      <c r="V251" t="str">
        <f>"System error"</f>
        <v>System error</v>
      </c>
      <c r="W251" t="str">
        <f>"NIL"</f>
        <v>NIL</v>
      </c>
      <c r="X251" t="str">
        <f t="shared" ref="X251:X262" si="55">"219.93.33.173"</f>
        <v>219.93.33.173</v>
      </c>
    </row>
    <row r="252" spans="1:24">
      <c r="A252" t="s">
        <v>275</v>
      </c>
      <c r="B252" t="str">
        <f>"27/01/2014 14:49:44"</f>
        <v>27/01/2014 14:49:44</v>
      </c>
      <c r="C252" t="str">
        <f>"11726"</f>
        <v>11726</v>
      </c>
      <c r="D252" t="str">
        <f>"Aisha1812"</f>
        <v>Aisha1812</v>
      </c>
      <c r="E252" t="str">
        <f>"NURUL AISHA BINTI ISMAIL"</f>
        <v>NURUL AISHA BINTI ISMAIL</v>
      </c>
      <c r="F252" t="str">
        <f>"001103003968"</f>
        <v>001103003968</v>
      </c>
      <c r="G252" t="str">
        <f>"11050083088523"</f>
        <v>11050083088523</v>
      </c>
      <c r="H252" t="str">
        <f t="shared" si="54"/>
        <v>MYR</v>
      </c>
      <c r="I252" t="str">
        <f t="shared" si="54"/>
        <v>MYR</v>
      </c>
      <c r="J252" t="str">
        <f>"2011-05-16"</f>
        <v>2011-05-16</v>
      </c>
      <c r="K252" t="str">
        <f>"22.00"</f>
        <v>22.00</v>
      </c>
      <c r="L252" t="str">
        <f>"22.00"</f>
        <v>22.00</v>
      </c>
      <c r="M252" t="str">
        <f t="shared" si="52"/>
        <v>NIL</v>
      </c>
      <c r="N252" t="str">
        <f>"NURUL AISHA"</f>
        <v>NURUL AISHA</v>
      </c>
      <c r="O252" t="str">
        <f>"CIMB BANK"</f>
        <v>CIMB BANK</v>
      </c>
      <c r="P252" t="str">
        <f>"CIBBMYKL"</f>
        <v>CIBBMYKL</v>
      </c>
      <c r="Q252" t="str">
        <f t="shared" si="53"/>
        <v>NIL</v>
      </c>
      <c r="R252" t="str">
        <f>"NIL"</f>
        <v>NIL</v>
      </c>
      <c r="S252" t="str">
        <f>"iPAY to NURUL AISHA (CIMB BANK: 11050083088523) (Ref No: 270114158697)"</f>
        <v>iPAY to NURUL AISHA (CIMB BANK: 11050083088523) (Ref No: 270114158697)</v>
      </c>
      <c r="T252" t="str">
        <f t="shared" si="41"/>
        <v>2014-01-27</v>
      </c>
      <c r="U252" t="s">
        <v>32</v>
      </c>
      <c r="V252" t="str">
        <f>"Successful"</f>
        <v>Successful</v>
      </c>
      <c r="W252" t="str">
        <f>"270114158697"</f>
        <v>270114158697</v>
      </c>
      <c r="X252" t="str">
        <f t="shared" si="55"/>
        <v>219.93.33.173</v>
      </c>
    </row>
    <row r="253" spans="1:24">
      <c r="A253" t="s">
        <v>276</v>
      </c>
      <c r="B253" t="str">
        <f>"27/01/2014 14:56:04"</f>
        <v>27/01/2014 14:56:04</v>
      </c>
      <c r="C253" t="str">
        <f>"10080"</f>
        <v>10080</v>
      </c>
      <c r="D253" t="str">
        <f>"aishawarya01"</f>
        <v>aishawarya01</v>
      </c>
      <c r="E253" t="str">
        <f>"HADJIRA @ AZEERA BINTI MANGGUNA"</f>
        <v>HADJIRA @ AZEERA BINTI MANGGUNA</v>
      </c>
      <c r="F253" t="str">
        <f>"009105000052"</f>
        <v>009105000052</v>
      </c>
      <c r="G253" t="str">
        <f>"10016020864698"</f>
        <v>10016020864698</v>
      </c>
      <c r="H253" t="str">
        <f t="shared" si="54"/>
        <v>MYR</v>
      </c>
      <c r="I253" t="str">
        <f t="shared" si="54"/>
        <v>MYR</v>
      </c>
      <c r="J253" t="str">
        <f>"2011-03-25"</f>
        <v>2011-03-25</v>
      </c>
      <c r="K253" t="str">
        <f>"50.00"</f>
        <v>50.00</v>
      </c>
      <c r="L253" t="str">
        <f>"50.00"</f>
        <v>50.00</v>
      </c>
      <c r="M253" t="str">
        <f t="shared" si="52"/>
        <v>NIL</v>
      </c>
      <c r="N253" t="str">
        <f>"CIK LAILA BINTI MANGUNA"</f>
        <v>CIK LAILA BINTI MANGUNA</v>
      </c>
      <c r="O253" t="str">
        <f>"BANK ISLAM MALAYSIA BHD"</f>
        <v>BANK ISLAM MALAYSIA BHD</v>
      </c>
      <c r="P253" t="str">
        <f>"BIMBMYKL"</f>
        <v>BIMBMYKL</v>
      </c>
      <c r="Q253" t="str">
        <f t="shared" si="53"/>
        <v>NIL</v>
      </c>
      <c r="R253" t="str">
        <f>"NIL"</f>
        <v>NIL</v>
      </c>
      <c r="S253" t="str">
        <f>"iPAY to CIK LAILA BINTI MANGUNA (BANK ISLAM MALAYSIA BHD: 10016020864698) (Ref No: 270114158701)"</f>
        <v>iPAY to CIK LAILA BINTI MANGUNA (BANK ISLAM MALAYSIA BHD: 10016020864698) (Ref No: 270114158701)</v>
      </c>
      <c r="T253" t="str">
        <f t="shared" si="41"/>
        <v>2014-01-27</v>
      </c>
      <c r="U253" t="s">
        <v>32</v>
      </c>
      <c r="V253" t="str">
        <f>"Successful"</f>
        <v>Successful</v>
      </c>
      <c r="W253" t="str">
        <f>"270114158701"</f>
        <v>270114158701</v>
      </c>
      <c r="X253" t="str">
        <f t="shared" si="55"/>
        <v>219.93.33.173</v>
      </c>
    </row>
    <row r="254" spans="1:24">
      <c r="A254" t="s">
        <v>277</v>
      </c>
      <c r="B254" t="str">
        <f>"27/01/2014 15:00:07"</f>
        <v>27/01/2014 15:00:07</v>
      </c>
      <c r="C254" t="str">
        <f>"8720"</f>
        <v>8720</v>
      </c>
      <c r="D254" t="str">
        <f>"michellegywong81"</f>
        <v>michellegywong81</v>
      </c>
      <c r="E254" t="str">
        <f>"WONG GUAN YEE"</f>
        <v>WONG GUAN YEE</v>
      </c>
      <c r="F254" t="str">
        <f>"001103015273"</f>
        <v>001103015273</v>
      </c>
      <c r="G254" t="str">
        <f>"114290060670"</f>
        <v>114290060670</v>
      </c>
      <c r="H254" t="str">
        <f t="shared" si="54"/>
        <v>MYR</v>
      </c>
      <c r="I254" t="str">
        <f t="shared" si="54"/>
        <v>MYR</v>
      </c>
      <c r="J254" t="str">
        <f>"NIL"</f>
        <v>NIL</v>
      </c>
      <c r="K254" t="str">
        <f>"10.00"</f>
        <v>10.00</v>
      </c>
      <c r="L254" t="str">
        <f>"10.00"</f>
        <v>10.00</v>
      </c>
      <c r="M254" t="str">
        <f>"tt to mbb"</f>
        <v>tt to mbb</v>
      </c>
      <c r="N254" t="str">
        <f>"WONG GUAN YEE"</f>
        <v>WONG GUAN YEE</v>
      </c>
      <c r="O254" t="str">
        <f>"MAYBANK"</f>
        <v>MAYBANK</v>
      </c>
      <c r="P254" t="str">
        <f>"MBBEMYKL"</f>
        <v>MBBEMYKL</v>
      </c>
      <c r="Q254" t="str">
        <f>"ttjan14"</f>
        <v>ttjan14</v>
      </c>
      <c r="R254" t="str">
        <f>"michelle.wong@kfh.com.my"</f>
        <v>michelle.wong@kfh.com.my</v>
      </c>
      <c r="S254" t="str">
        <f>"iPAY to WONG GUAN YEE (MAYBANK: 114290060670)"</f>
        <v>iPAY to WONG GUAN YEE (MAYBANK: 114290060670)</v>
      </c>
      <c r="T254" t="str">
        <f t="shared" si="41"/>
        <v>2014-01-27</v>
      </c>
      <c r="U254" t="s">
        <v>34</v>
      </c>
      <c r="V254" t="str">
        <f>"System error"</f>
        <v>System error</v>
      </c>
      <c r="W254" t="str">
        <f>"NIL"</f>
        <v>NIL</v>
      </c>
      <c r="X254" t="str">
        <f t="shared" si="55"/>
        <v>219.93.33.173</v>
      </c>
    </row>
    <row r="255" spans="1:24">
      <c r="A255" t="s">
        <v>278</v>
      </c>
      <c r="B255" t="str">
        <f>"27/01/2014 15:02:09"</f>
        <v>27/01/2014 15:02:09</v>
      </c>
      <c r="C255" t="str">
        <f>"8720"</f>
        <v>8720</v>
      </c>
      <c r="D255" t="str">
        <f>"michellegywong81"</f>
        <v>michellegywong81</v>
      </c>
      <c r="E255" t="str">
        <f>"WONG GUAN YEE"</f>
        <v>WONG GUAN YEE</v>
      </c>
      <c r="F255" t="str">
        <f>"001103015273"</f>
        <v>001103015273</v>
      </c>
      <c r="G255" t="str">
        <f>"114290060670"</f>
        <v>114290060670</v>
      </c>
      <c r="H255" t="str">
        <f t="shared" si="54"/>
        <v>MYR</v>
      </c>
      <c r="I255" t="str">
        <f t="shared" si="54"/>
        <v>MYR</v>
      </c>
      <c r="J255" t="str">
        <f>"NIL"</f>
        <v>NIL</v>
      </c>
      <c r="K255" t="str">
        <f>"10.00"</f>
        <v>10.00</v>
      </c>
      <c r="L255" t="str">
        <f>"10.00"</f>
        <v>10.00</v>
      </c>
      <c r="M255" t="str">
        <f>"tt to mbb"</f>
        <v>tt to mbb</v>
      </c>
      <c r="N255" t="str">
        <f>"WONG GUAN YEE"</f>
        <v>WONG GUAN YEE</v>
      </c>
      <c r="O255" t="str">
        <f>"MAYBANK"</f>
        <v>MAYBANK</v>
      </c>
      <c r="P255" t="str">
        <f>"MBBEMYKL"</f>
        <v>MBBEMYKL</v>
      </c>
      <c r="Q255" t="str">
        <f>"ttjan14"</f>
        <v>ttjan14</v>
      </c>
      <c r="R255" t="str">
        <f>"michelle.wong@kfh.com.my"</f>
        <v>michelle.wong@kfh.com.my</v>
      </c>
      <c r="S255" t="str">
        <f>"iPAY to WONG GUAN YEE (MAYBANK: 114290060670)"</f>
        <v>iPAY to WONG GUAN YEE (MAYBANK: 114290060670)</v>
      </c>
      <c r="T255" t="str">
        <f t="shared" si="41"/>
        <v>2014-01-27</v>
      </c>
      <c r="U255" t="s">
        <v>34</v>
      </c>
      <c r="V255" t="str">
        <f>"System error"</f>
        <v>System error</v>
      </c>
      <c r="W255" t="str">
        <f>"NIL"</f>
        <v>NIL</v>
      </c>
      <c r="X255" t="str">
        <f t="shared" si="55"/>
        <v>219.93.33.173</v>
      </c>
    </row>
    <row r="256" spans="1:24">
      <c r="A256" t="s">
        <v>279</v>
      </c>
      <c r="B256" t="str">
        <f>"27/01/2014 15:04:11"</f>
        <v>27/01/2014 15:04:11</v>
      </c>
      <c r="C256" t="str">
        <f>"55455"</f>
        <v>55455</v>
      </c>
      <c r="D256" t="str">
        <f>"norazeila"</f>
        <v>norazeila</v>
      </c>
      <c r="E256" t="str">
        <f>"NORAZEILA BINTI MOHAMED"</f>
        <v>NORAZEILA BINTI MOHAMED</v>
      </c>
      <c r="F256" t="str">
        <f>"001103022474"</f>
        <v>001103022474</v>
      </c>
      <c r="G256" t="str">
        <f>"166010268671"</f>
        <v>166010268671</v>
      </c>
      <c r="H256" t="str">
        <f t="shared" si="54"/>
        <v>MYR</v>
      </c>
      <c r="I256" t="str">
        <f t="shared" si="54"/>
        <v>MYR</v>
      </c>
      <c r="J256" t="str">
        <f>"2013-02-05"</f>
        <v>2013-02-05</v>
      </c>
      <c r="K256" t="str">
        <f>"400.00"</f>
        <v>400.00</v>
      </c>
      <c r="L256" t="str">
        <f>"400.00"</f>
        <v>400.00</v>
      </c>
      <c r="M256" t="str">
        <f>"duit hutang"</f>
        <v>duit hutang</v>
      </c>
      <c r="N256" t="str">
        <f>"NURASHFAIZUL FAIEZ B"</f>
        <v>NURASHFAIZUL FAIEZ B</v>
      </c>
      <c r="O256" t="str">
        <f>"MAYBANK"</f>
        <v>MAYBANK</v>
      </c>
      <c r="P256" t="str">
        <f>"MBBEMYKL"</f>
        <v>MBBEMYKL</v>
      </c>
      <c r="Q256" t="str">
        <f>"NIL"</f>
        <v>NIL</v>
      </c>
      <c r="R256" t="str">
        <f>"NIL"</f>
        <v>NIL</v>
      </c>
      <c r="S256" t="str">
        <f>"iPAY to NURASHFAIZUL FAIEZ B (MAYBANK: 166010268671) (Ref No: 270114158710)"</f>
        <v>iPAY to NURASHFAIZUL FAIEZ B (MAYBANK: 166010268671) (Ref No: 270114158710)</v>
      </c>
      <c r="T256" t="str">
        <f t="shared" si="41"/>
        <v>2014-01-27</v>
      </c>
      <c r="U256" t="s">
        <v>32</v>
      </c>
      <c r="V256" t="str">
        <f>"Successful"</f>
        <v>Successful</v>
      </c>
      <c r="W256" t="str">
        <f>"270114158710"</f>
        <v>270114158710</v>
      </c>
      <c r="X256" t="str">
        <f t="shared" si="55"/>
        <v>219.93.33.173</v>
      </c>
    </row>
    <row r="257" spans="1:24">
      <c r="A257" t="s">
        <v>280</v>
      </c>
      <c r="B257" t="str">
        <f>"27/01/2014 15:04:55"</f>
        <v>27/01/2014 15:04:55</v>
      </c>
      <c r="C257" t="str">
        <f>"26220"</f>
        <v>26220</v>
      </c>
      <c r="D257" t="str">
        <f>"jifat_ym"</f>
        <v>jifat_ym</v>
      </c>
      <c r="E257" t="str">
        <f>"NURULHELMY BIN NORMAN"</f>
        <v>NURULHELMY BIN NORMAN</v>
      </c>
      <c r="F257" t="str">
        <f>"001102029308"</f>
        <v>001102029308</v>
      </c>
      <c r="G257" t="str">
        <f>"162218016409"</f>
        <v>162218016409</v>
      </c>
      <c r="H257" t="str">
        <f t="shared" si="54"/>
        <v>MYR</v>
      </c>
      <c r="I257" t="str">
        <f t="shared" si="54"/>
        <v>MYR</v>
      </c>
      <c r="J257" t="str">
        <f>"2011-10-25"</f>
        <v>2011-10-25</v>
      </c>
      <c r="K257" t="str">
        <f>"200.00"</f>
        <v>200.00</v>
      </c>
      <c r="L257" t="str">
        <f>"200.00"</f>
        <v>200.00</v>
      </c>
      <c r="M257" t="str">
        <f>"NIL"</f>
        <v>NIL</v>
      </c>
      <c r="N257" t="str">
        <f>"NURULHELMY B NORMAN"</f>
        <v>NURULHELMY B NORMAN</v>
      </c>
      <c r="O257" t="str">
        <f>"MAYBANK"</f>
        <v>MAYBANK</v>
      </c>
      <c r="P257" t="str">
        <f>"MBBEMYKL"</f>
        <v>MBBEMYKL</v>
      </c>
      <c r="Q257" t="str">
        <f t="shared" ref="Q257:Q262" si="56">"NIL"</f>
        <v>NIL</v>
      </c>
      <c r="R257" t="str">
        <f>"helmynorman@yahoo.com"</f>
        <v>helmynorman@yahoo.com</v>
      </c>
      <c r="S257" t="str">
        <f>"iPAY to NURULHELMY B NORMAN (MAYBANK: 162218016409) (Ref No: 270114158706)"</f>
        <v>iPAY to NURULHELMY B NORMAN (MAYBANK: 162218016409) (Ref No: 270114158706)</v>
      </c>
      <c r="T257" t="str">
        <f t="shared" si="41"/>
        <v>2014-01-27</v>
      </c>
      <c r="U257" t="s">
        <v>32</v>
      </c>
      <c r="V257" t="str">
        <f>"Successful"</f>
        <v>Successful</v>
      </c>
      <c r="W257" t="str">
        <f>"270114158706"</f>
        <v>270114158706</v>
      </c>
      <c r="X257" t="str">
        <f t="shared" si="55"/>
        <v>219.93.33.173</v>
      </c>
    </row>
    <row r="258" spans="1:24">
      <c r="A258" t="s">
        <v>281</v>
      </c>
      <c r="B258" t="str">
        <f>"27/01/2014 15:05:11"</f>
        <v>27/01/2014 15:05:11</v>
      </c>
      <c r="C258" t="str">
        <f>"4992"</f>
        <v>4992</v>
      </c>
      <c r="D258" t="str">
        <f>"samtan"</f>
        <v>samtan</v>
      </c>
      <c r="E258" t="str">
        <f>"SAMUEL TAN CHUN KIAT"</f>
        <v>SAMUEL TAN CHUN KIAT</v>
      </c>
      <c r="F258" t="str">
        <f>"007102001862"</f>
        <v>007102001862</v>
      </c>
      <c r="G258" t="str">
        <f>"111113392737"</f>
        <v>111113392737</v>
      </c>
      <c r="H258" t="str">
        <f t="shared" si="54"/>
        <v>MYR</v>
      </c>
      <c r="I258" t="str">
        <f t="shared" si="54"/>
        <v>MYR</v>
      </c>
      <c r="J258" t="str">
        <f>"2009-09-01"</f>
        <v>2009-09-01</v>
      </c>
      <c r="K258" t="str">
        <f>"3470.00"</f>
        <v>3470.00</v>
      </c>
      <c r="L258" t="str">
        <f>"3470.00"</f>
        <v>3470.00</v>
      </c>
      <c r="M258" t="str">
        <f>"NIL"</f>
        <v>NIL</v>
      </c>
      <c r="N258" t="str">
        <f>"YEO SZE BOON"</f>
        <v>YEO SZE BOON</v>
      </c>
      <c r="O258" t="str">
        <f>"MAYBANK"</f>
        <v>MAYBANK</v>
      </c>
      <c r="P258" t="str">
        <f>"MBBEMYKL"</f>
        <v>MBBEMYKL</v>
      </c>
      <c r="Q258" t="str">
        <f t="shared" si="56"/>
        <v>NIL</v>
      </c>
      <c r="R258" t="str">
        <f>"NIL"</f>
        <v>NIL</v>
      </c>
      <c r="S258" t="str">
        <f>"iPAY to YEO SZE BOON (MAYBANK: 111113392737) (Ref No: 270114158712)"</f>
        <v>iPAY to YEO SZE BOON (MAYBANK: 111113392737) (Ref No: 270114158712)</v>
      </c>
      <c r="T258" t="str">
        <f t="shared" si="41"/>
        <v>2014-01-27</v>
      </c>
      <c r="U258" t="s">
        <v>32</v>
      </c>
      <c r="V258" t="str">
        <f>"Successful"</f>
        <v>Successful</v>
      </c>
      <c r="W258" t="str">
        <f>"270114158712"</f>
        <v>270114158712</v>
      </c>
      <c r="X258" t="str">
        <f t="shared" si="55"/>
        <v>219.93.33.173</v>
      </c>
    </row>
    <row r="259" spans="1:24">
      <c r="A259" t="s">
        <v>282</v>
      </c>
      <c r="B259" t="str">
        <f>"27/01/2014 15:08:35"</f>
        <v>27/01/2014 15:08:35</v>
      </c>
      <c r="C259" t="str">
        <f>"36992"</f>
        <v>36992</v>
      </c>
      <c r="D259" t="str">
        <f>"munira75"</f>
        <v>munira75</v>
      </c>
      <c r="E259" t="str">
        <f>"MUNIRA BINTI HAMDAN"</f>
        <v>MUNIRA BINTI HAMDAN</v>
      </c>
      <c r="F259" t="str">
        <f>"001102033089"</f>
        <v>001102033089</v>
      </c>
      <c r="G259" t="str">
        <f>"2110010059099"</f>
        <v>2110010059099</v>
      </c>
      <c r="H259" t="str">
        <f t="shared" si="54"/>
        <v>MYR</v>
      </c>
      <c r="I259" t="str">
        <f t="shared" si="54"/>
        <v>MYR</v>
      </c>
      <c r="J259" t="str">
        <f>"2012-02-23"</f>
        <v>2012-02-23</v>
      </c>
      <c r="K259" t="str">
        <f>"1000.00"</f>
        <v>1000.00</v>
      </c>
      <c r="L259" t="str">
        <f>"1000.00"</f>
        <v>1000.00</v>
      </c>
      <c r="M259" t="str">
        <f>"PYMT JAN'14"</f>
        <v>PYMT JAN'14</v>
      </c>
      <c r="N259" t="str">
        <f>"PUAN MUNIRA BINTI HAMDAN"</f>
        <v>PUAN MUNIRA BINTI HAMDAN</v>
      </c>
      <c r="O259" t="str">
        <f>"AMBANK"</f>
        <v>AMBANK</v>
      </c>
      <c r="P259" t="str">
        <f>"ARBKMYKL"</f>
        <v>ARBKMYKL</v>
      </c>
      <c r="Q259" t="str">
        <f t="shared" si="56"/>
        <v>NIL</v>
      </c>
      <c r="R259" t="str">
        <f>"munira.hamdan@kfh.com.my"</f>
        <v>munira.hamdan@kfh.com.my</v>
      </c>
      <c r="S259" t="str">
        <f>"iPAY to PUAN MUNIRA BINTI HAMDAN (AMBANK: 2110010059099) (Ref No: 270114158714)"</f>
        <v>iPAY to PUAN MUNIRA BINTI HAMDAN (AMBANK: 2110010059099) (Ref No: 270114158714)</v>
      </c>
      <c r="T259" t="str">
        <f t="shared" si="41"/>
        <v>2014-01-27</v>
      </c>
      <c r="U259" t="s">
        <v>32</v>
      </c>
      <c r="V259" t="str">
        <f>"Successful"</f>
        <v>Successful</v>
      </c>
      <c r="W259" t="str">
        <f>"270114158714"</f>
        <v>270114158714</v>
      </c>
      <c r="X259" t="str">
        <f t="shared" si="55"/>
        <v>219.93.33.173</v>
      </c>
    </row>
    <row r="260" spans="1:24">
      <c r="A260" t="s">
        <v>283</v>
      </c>
      <c r="B260" t="str">
        <f>"27/01/2014 15:09:32"</f>
        <v>27/01/2014 15:09:32</v>
      </c>
      <c r="C260" t="str">
        <f>"43134"</f>
        <v>43134</v>
      </c>
      <c r="D260" t="str">
        <f>"syana6969"</f>
        <v>syana6969</v>
      </c>
      <c r="E260" t="str">
        <f>"NORSYAZANA BINTI MOSTAR"</f>
        <v>NORSYAZANA BINTI MOSTAR</v>
      </c>
      <c r="F260" t="str">
        <f>"012103000012"</f>
        <v>012103000012</v>
      </c>
      <c r="G260" t="str">
        <f>"162478209613"</f>
        <v>162478209613</v>
      </c>
      <c r="H260" t="str">
        <f t="shared" si="54"/>
        <v>MYR</v>
      </c>
      <c r="I260" t="str">
        <f t="shared" si="54"/>
        <v>MYR</v>
      </c>
      <c r="J260" t="str">
        <f>"2012-07-12"</f>
        <v>2012-07-12</v>
      </c>
      <c r="K260" t="str">
        <f>"300.94"</f>
        <v>300.94</v>
      </c>
      <c r="L260" t="str">
        <f>"300.94"</f>
        <v>300.94</v>
      </c>
      <c r="M260" t="str">
        <f>"NIL"</f>
        <v>NIL</v>
      </c>
      <c r="N260" t="str">
        <f>"NORSYAZANA BINTI MOS"</f>
        <v>NORSYAZANA BINTI MOS</v>
      </c>
      <c r="O260" t="str">
        <f>"MAYBANK"</f>
        <v>MAYBANK</v>
      </c>
      <c r="P260" t="str">
        <f>"MBBEMYKL"</f>
        <v>MBBEMYKL</v>
      </c>
      <c r="Q260" t="str">
        <f t="shared" si="56"/>
        <v>NIL</v>
      </c>
      <c r="R260" t="str">
        <f>"NIL"</f>
        <v>NIL</v>
      </c>
      <c r="S260" t="str">
        <f>"iPAY to NORSYAZANA BINTI MOS (MAYBANK: 162478209613) (Ref No: 270114158717)"</f>
        <v>iPAY to NORSYAZANA BINTI MOS (MAYBANK: 162478209613) (Ref No: 270114158717)</v>
      </c>
      <c r="T260" t="str">
        <f t="shared" si="41"/>
        <v>2014-01-27</v>
      </c>
      <c r="U260" t="s">
        <v>32</v>
      </c>
      <c r="V260" t="str">
        <f>"Successful"</f>
        <v>Successful</v>
      </c>
      <c r="W260" t="str">
        <f>"270114158717"</f>
        <v>270114158717</v>
      </c>
      <c r="X260" t="str">
        <f t="shared" si="55"/>
        <v>219.93.33.173</v>
      </c>
    </row>
    <row r="261" spans="1:24">
      <c r="A261" t="s">
        <v>284</v>
      </c>
      <c r="B261" t="str">
        <f>"27/01/2014 15:17:33"</f>
        <v>27/01/2014 15:17:33</v>
      </c>
      <c r="C261" t="str">
        <f>"891"</f>
        <v>891</v>
      </c>
      <c r="D261" t="str">
        <f>"norulh1211"</f>
        <v>norulh1211</v>
      </c>
      <c r="E261" t="str">
        <f>"NORUL HASLIZAN BINTI HARUN"</f>
        <v>NORUL HASLIZAN BINTI HARUN</v>
      </c>
      <c r="F261" t="str">
        <f>"011020004860"</f>
        <v>011020004860</v>
      </c>
      <c r="G261" t="str">
        <f>"556039053060"</f>
        <v>556039053060</v>
      </c>
      <c r="H261" t="str">
        <f t="shared" si="54"/>
        <v>MYR</v>
      </c>
      <c r="I261" t="str">
        <f t="shared" si="54"/>
        <v>MYR</v>
      </c>
      <c r="J261" t="str">
        <f>"NIL"</f>
        <v>NIL</v>
      </c>
      <c r="K261" t="str">
        <f>"150.00"</f>
        <v>150.00</v>
      </c>
      <c r="L261" t="str">
        <f>"150.00"</f>
        <v>150.00</v>
      </c>
      <c r="M261" t="str">
        <f>"2 botol Madu Khaula"</f>
        <v>2 botol Madu Khaula</v>
      </c>
      <c r="N261" t="str">
        <f>"AIZA BEAUTY RESOURCE"</f>
        <v>AIZA BEAUTY RESOURCE</v>
      </c>
      <c r="O261" t="str">
        <f>"MAYBANK"</f>
        <v>MAYBANK</v>
      </c>
      <c r="P261" t="str">
        <f>"MBBEMYKL"</f>
        <v>MBBEMYKL</v>
      </c>
      <c r="Q261" t="str">
        <f t="shared" si="56"/>
        <v>NIL</v>
      </c>
      <c r="R261" t="str">
        <f>"admin@aizabeauty.com"</f>
        <v>admin@aizabeauty.com</v>
      </c>
      <c r="S261" t="str">
        <f>"iPAY to AIZA BEAUTY RESOURCE (MAYBANK: 556039053060)"</f>
        <v>iPAY to AIZA BEAUTY RESOURCE (MAYBANK: 556039053060)</v>
      </c>
      <c r="T261" t="str">
        <f t="shared" si="41"/>
        <v>2014-01-27</v>
      </c>
      <c r="U261" t="s">
        <v>34</v>
      </c>
      <c r="V261" t="str">
        <f>"System error"</f>
        <v>System error</v>
      </c>
      <c r="W261" t="str">
        <f>"NIL"</f>
        <v>NIL</v>
      </c>
      <c r="X261" t="str">
        <f t="shared" si="55"/>
        <v>219.93.33.173</v>
      </c>
    </row>
    <row r="262" spans="1:24">
      <c r="A262" t="s">
        <v>285</v>
      </c>
      <c r="B262" t="str">
        <f>"27/01/2014 15:20:45"</f>
        <v>27/01/2014 15:20:45</v>
      </c>
      <c r="C262" t="str">
        <f>"891"</f>
        <v>891</v>
      </c>
      <c r="D262" t="str">
        <f>"norulh1211"</f>
        <v>norulh1211</v>
      </c>
      <c r="E262" t="str">
        <f>"NORUL HASLIZAN BINTI HARUN"</f>
        <v>NORUL HASLIZAN BINTI HARUN</v>
      </c>
      <c r="F262" t="str">
        <f>"011020004860"</f>
        <v>011020004860</v>
      </c>
      <c r="G262" t="str">
        <f>"556039053060"</f>
        <v>556039053060</v>
      </c>
      <c r="H262" t="str">
        <f t="shared" si="54"/>
        <v>MYR</v>
      </c>
      <c r="I262" t="str">
        <f t="shared" si="54"/>
        <v>MYR</v>
      </c>
      <c r="J262" t="str">
        <f>"2007-06-14"</f>
        <v>2007-06-14</v>
      </c>
      <c r="K262" t="str">
        <f>"150.00"</f>
        <v>150.00</v>
      </c>
      <c r="L262" t="str">
        <f>"150.00"</f>
        <v>150.00</v>
      </c>
      <c r="M262" t="str">
        <f>"2 botol madu khaula"</f>
        <v>2 botol madu khaula</v>
      </c>
      <c r="N262" t="str">
        <f>"AIZA BEAUTY RESOURCE"</f>
        <v>AIZA BEAUTY RESOURCE</v>
      </c>
      <c r="O262" t="str">
        <f>"MAYBANK"</f>
        <v>MAYBANK</v>
      </c>
      <c r="P262" t="str">
        <f>"MBBEMYKL"</f>
        <v>MBBEMYKL</v>
      </c>
      <c r="Q262" t="str">
        <f t="shared" si="56"/>
        <v>NIL</v>
      </c>
      <c r="R262" t="str">
        <f>"admin@aizabeauty.com"</f>
        <v>admin@aizabeauty.com</v>
      </c>
      <c r="S262" t="str">
        <f>"iPAY to AIZA BEAUTY RESOURCE (MAYBANK: 556039053060) (Ref No: 270114158721)"</f>
        <v>iPAY to AIZA BEAUTY RESOURCE (MAYBANK: 556039053060) (Ref No: 270114158721)</v>
      </c>
      <c r="T262" t="str">
        <f t="shared" si="41"/>
        <v>2014-01-27</v>
      </c>
      <c r="U262" t="s">
        <v>32</v>
      </c>
      <c r="V262" t="str">
        <f>"Successful"</f>
        <v>Successful</v>
      </c>
      <c r="W262" t="str">
        <f>"270114158721"</f>
        <v>270114158721</v>
      </c>
      <c r="X262" t="str">
        <f t="shared" si="55"/>
        <v>219.93.33.173</v>
      </c>
    </row>
    <row r="263" spans="1:24">
      <c r="A263" t="s">
        <v>286</v>
      </c>
      <c r="B263" t="str">
        <f>"27/01/2014 15:27:42"</f>
        <v>27/01/2014 15:27:42</v>
      </c>
      <c r="C263" t="str">
        <f>"40154"</f>
        <v>40154</v>
      </c>
      <c r="D263" t="str">
        <f>"mohd_zatusy"</f>
        <v>mohd_zatusy</v>
      </c>
      <c r="E263" t="str">
        <f>"MOHD ZATUSY HASZARY BIN YUNUS"</f>
        <v>MOHD ZATUSY HASZARY BIN YUNUS</v>
      </c>
      <c r="F263" t="str">
        <f>"011103003230"</f>
        <v>011103003230</v>
      </c>
      <c r="G263" t="str">
        <f>"13020099892528"</f>
        <v>13020099892528</v>
      </c>
      <c r="H263" t="str">
        <f t="shared" si="54"/>
        <v>MYR</v>
      </c>
      <c r="I263" t="str">
        <f t="shared" si="54"/>
        <v>MYR</v>
      </c>
      <c r="J263" t="str">
        <f>"2012-05-09"</f>
        <v>2012-05-09</v>
      </c>
      <c r="K263" t="str">
        <f>"70.00"</f>
        <v>70.00</v>
      </c>
      <c r="L263" t="str">
        <f>"70.00"</f>
        <v>70.00</v>
      </c>
      <c r="M263" t="str">
        <f>"trans"</f>
        <v>trans</v>
      </c>
      <c r="N263" t="str">
        <f>"ZAILAWATI BT"</f>
        <v>ZAILAWATI BT</v>
      </c>
      <c r="O263" t="str">
        <f>"CIMB BANK"</f>
        <v>CIMB BANK</v>
      </c>
      <c r="P263" t="str">
        <f>"CIBBMYKL"</f>
        <v>CIBBMYKL</v>
      </c>
      <c r="Q263" t="str">
        <f>"8515"</f>
        <v>8515</v>
      </c>
      <c r="R263" t="str">
        <f>"zatusy2007@yahoo.com"</f>
        <v>zatusy2007@yahoo.com</v>
      </c>
      <c r="S263" t="str">
        <f>"iPAY to ZAILAWATI BT (CIMB BANK: 13020099892528) (Ref No: 270114158724)"</f>
        <v>iPAY to ZAILAWATI BT (CIMB BANK: 13020099892528) (Ref No: 270114158724)</v>
      </c>
      <c r="T263" t="str">
        <f t="shared" si="41"/>
        <v>2014-01-27</v>
      </c>
      <c r="U263" t="s">
        <v>32</v>
      </c>
      <c r="V263" t="str">
        <f>"Successful"</f>
        <v>Successful</v>
      </c>
      <c r="W263" t="str">
        <f>"270114158724"</f>
        <v>270114158724</v>
      </c>
      <c r="X263" t="str">
        <f>"219.92.3.125"</f>
        <v>219.92.3.125</v>
      </c>
    </row>
    <row r="264" spans="1:24">
      <c r="A264" t="s">
        <v>287</v>
      </c>
      <c r="B264" t="str">
        <f>"27/01/2014 15:33:29"</f>
        <v>27/01/2014 15:33:29</v>
      </c>
      <c r="C264" t="str">
        <f>"3603"</f>
        <v>3603</v>
      </c>
      <c r="D264" t="str">
        <f>"siti1971"</f>
        <v>siti1971</v>
      </c>
      <c r="E264" t="str">
        <f>"SITI SURIANI BINTI AHMAD"</f>
        <v>SITI SURIANI BINTI AHMAD</v>
      </c>
      <c r="F264" t="str">
        <f>"006101000094"</f>
        <v>006101000094</v>
      </c>
      <c r="G264" t="str">
        <f>"164258410162"</f>
        <v>164258410162</v>
      </c>
      <c r="H264" t="str">
        <f t="shared" si="54"/>
        <v>MYR</v>
      </c>
      <c r="I264" t="str">
        <f t="shared" si="54"/>
        <v>MYR</v>
      </c>
      <c r="J264" t="str">
        <f>"NIL"</f>
        <v>NIL</v>
      </c>
      <c r="K264" t="str">
        <f>"700.00"</f>
        <v>700.00</v>
      </c>
      <c r="L264" t="str">
        <f>"700.00"</f>
        <v>700.00</v>
      </c>
      <c r="M264" t="str">
        <f>"BKJ871 Insurance"</f>
        <v>BKJ871 Insurance</v>
      </c>
      <c r="N264" t="str">
        <f>"MAHMUD AS-SIDIK BIN"</f>
        <v>MAHMUD AS-SIDIK BIN</v>
      </c>
      <c r="O264" t="str">
        <f>"MAYBANK"</f>
        <v>MAYBANK</v>
      </c>
      <c r="P264" t="str">
        <f>"MBBEMYKL"</f>
        <v>MBBEMYKL</v>
      </c>
      <c r="Q264" t="str">
        <f t="shared" ref="Q264:Q277" si="57">"NIL"</f>
        <v>NIL</v>
      </c>
      <c r="R264" t="str">
        <f>"mahmud.assidik@yahoo.com.my"</f>
        <v>mahmud.assidik@yahoo.com.my</v>
      </c>
      <c r="S264" t="str">
        <f>"iPAY to MAHMUD AS-SIDIK BIN (MAYBANK: 164258410162)"</f>
        <v>iPAY to MAHMUD AS-SIDIK BIN (MAYBANK: 164258410162)</v>
      </c>
      <c r="T264" t="str">
        <f t="shared" si="41"/>
        <v>2014-01-27</v>
      </c>
      <c r="U264" t="s">
        <v>34</v>
      </c>
      <c r="V264" t="str">
        <f>"System error"</f>
        <v>System error</v>
      </c>
      <c r="W264" t="str">
        <f>"NIL"</f>
        <v>NIL</v>
      </c>
      <c r="X264" t="str">
        <f t="shared" ref="X264:X274" si="58">"219.93.33.173"</f>
        <v>219.93.33.173</v>
      </c>
    </row>
    <row r="265" spans="1:24">
      <c r="A265" t="s">
        <v>288</v>
      </c>
      <c r="B265" t="str">
        <f>"27/01/2014 15:34:20"</f>
        <v>27/01/2014 15:34:20</v>
      </c>
      <c r="C265" t="str">
        <f>"3603"</f>
        <v>3603</v>
      </c>
      <c r="D265" t="str">
        <f>"siti1971"</f>
        <v>siti1971</v>
      </c>
      <c r="E265" t="str">
        <f>"SITI SURIANI BINTI AHMAD"</f>
        <v>SITI SURIANI BINTI AHMAD</v>
      </c>
      <c r="F265" t="str">
        <f>"006101000094"</f>
        <v>006101000094</v>
      </c>
      <c r="G265" t="str">
        <f>"164258410162"</f>
        <v>164258410162</v>
      </c>
      <c r="H265" t="str">
        <f t="shared" si="54"/>
        <v>MYR</v>
      </c>
      <c r="I265" t="str">
        <f t="shared" si="54"/>
        <v>MYR</v>
      </c>
      <c r="J265" t="str">
        <f>"2009-02-23"</f>
        <v>2009-02-23</v>
      </c>
      <c r="K265" t="str">
        <f>"700.00"</f>
        <v>700.00</v>
      </c>
      <c r="L265" t="str">
        <f>"700.00"</f>
        <v>700.00</v>
      </c>
      <c r="M265" t="str">
        <f>"BKJ871 Insurance"</f>
        <v>BKJ871 Insurance</v>
      </c>
      <c r="N265" t="str">
        <f>"MAHMUD AS-SIDIK BIN"</f>
        <v>MAHMUD AS-SIDIK BIN</v>
      </c>
      <c r="O265" t="str">
        <f>"MAYBANK"</f>
        <v>MAYBANK</v>
      </c>
      <c r="P265" t="str">
        <f>"MBBEMYKL"</f>
        <v>MBBEMYKL</v>
      </c>
      <c r="Q265" t="str">
        <f t="shared" si="57"/>
        <v>NIL</v>
      </c>
      <c r="R265" t="str">
        <f>"mahmud.assidik@yahoo.com.my"</f>
        <v>mahmud.assidik@yahoo.com.my</v>
      </c>
      <c r="S265" t="str">
        <f>"iPAY to MAHMUD AS-SIDIK BIN (MAYBANK: 164258410162) (Ref No: 270114158733)"</f>
        <v>iPAY to MAHMUD AS-SIDIK BIN (MAYBANK: 164258410162) (Ref No: 270114158733)</v>
      </c>
      <c r="T265" t="str">
        <f t="shared" si="41"/>
        <v>2014-01-27</v>
      </c>
      <c r="U265" t="s">
        <v>32</v>
      </c>
      <c r="V265" t="str">
        <f>"Successful"</f>
        <v>Successful</v>
      </c>
      <c r="W265" t="str">
        <f>"270114158733"</f>
        <v>270114158733</v>
      </c>
      <c r="X265" t="str">
        <f t="shared" si="58"/>
        <v>219.93.33.173</v>
      </c>
    </row>
    <row r="266" spans="1:24">
      <c r="A266" t="s">
        <v>289</v>
      </c>
      <c r="B266" t="str">
        <f>"27/01/2014 15:35:14"</f>
        <v>27/01/2014 15:35:14</v>
      </c>
      <c r="C266" t="str">
        <f t="shared" ref="C266:C274" si="59">"2560"</f>
        <v>2560</v>
      </c>
      <c r="D266" t="str">
        <f t="shared" ref="D266:D274" si="60">"kiab81"</f>
        <v>kiab81</v>
      </c>
      <c r="E266" t="str">
        <f t="shared" ref="E266:E274" si="61">"KHIRIL ISZWAN BIN ABU BAKAR"</f>
        <v>KHIRIL ISZWAN BIN ABU BAKAR</v>
      </c>
      <c r="F266" t="str">
        <f t="shared" ref="F266:F274" si="62">"001102009641"</f>
        <v>001102009641</v>
      </c>
      <c r="G266" t="str">
        <f>"564490050063"</f>
        <v>564490050063</v>
      </c>
      <c r="H266" t="str">
        <f t="shared" si="54"/>
        <v>MYR</v>
      </c>
      <c r="I266" t="str">
        <f t="shared" si="54"/>
        <v>MYR</v>
      </c>
      <c r="J266" t="str">
        <f>"NIL"</f>
        <v>NIL</v>
      </c>
      <c r="K266" t="str">
        <f>"450.00"</f>
        <v>450.00</v>
      </c>
      <c r="L266" t="str">
        <f>"450.00"</f>
        <v>450.00</v>
      </c>
      <c r="M266" t="str">
        <f t="shared" ref="M266:M275" si="63">"NIL"</f>
        <v>NIL</v>
      </c>
      <c r="N266" t="str">
        <f>"KHIRIL ANUAR BIN ABU"</f>
        <v>KHIRIL ANUAR BIN ABU</v>
      </c>
      <c r="O266" t="str">
        <f>"MAYBANK"</f>
        <v>MAYBANK</v>
      </c>
      <c r="P266" t="str">
        <f>"MBBEMYKL"</f>
        <v>MBBEMYKL</v>
      </c>
      <c r="Q266" t="str">
        <f t="shared" si="57"/>
        <v>NIL</v>
      </c>
      <c r="R266" t="str">
        <f t="shared" ref="R266:R274" si="64">"NIL"</f>
        <v>NIL</v>
      </c>
      <c r="S266" t="str">
        <f>"iPAY to KHIRIL ANUAR BIN ABU (MAYBANK: 564490050063)"</f>
        <v>iPAY to KHIRIL ANUAR BIN ABU (MAYBANK: 564490050063)</v>
      </c>
      <c r="T266" t="str">
        <f t="shared" ref="T266:T329" si="65">"2014-01-27"</f>
        <v>2014-01-27</v>
      </c>
      <c r="U266" t="s">
        <v>34</v>
      </c>
      <c r="V266" t="str">
        <f>"System error"</f>
        <v>System error</v>
      </c>
      <c r="W266" t="str">
        <f>"NIL"</f>
        <v>NIL</v>
      </c>
      <c r="X266" t="str">
        <f t="shared" si="58"/>
        <v>219.93.33.173</v>
      </c>
    </row>
    <row r="267" spans="1:24">
      <c r="A267" t="s">
        <v>290</v>
      </c>
      <c r="B267" t="str">
        <f>"27/01/2014 15:36:18"</f>
        <v>27/01/2014 15:36:18</v>
      </c>
      <c r="C267" t="str">
        <f t="shared" si="59"/>
        <v>2560</v>
      </c>
      <c r="D267" t="str">
        <f t="shared" si="60"/>
        <v>kiab81</v>
      </c>
      <c r="E267" t="str">
        <f t="shared" si="61"/>
        <v>KHIRIL ISZWAN BIN ABU BAKAR</v>
      </c>
      <c r="F267" t="str">
        <f t="shared" si="62"/>
        <v>001102009641</v>
      </c>
      <c r="G267" t="str">
        <f>"564490050063"</f>
        <v>564490050063</v>
      </c>
      <c r="H267" t="str">
        <f t="shared" si="54"/>
        <v>MYR</v>
      </c>
      <c r="I267" t="str">
        <f t="shared" si="54"/>
        <v>MYR</v>
      </c>
      <c r="J267" t="str">
        <f>"2008-10-22"</f>
        <v>2008-10-22</v>
      </c>
      <c r="K267" t="str">
        <f>"450.00"</f>
        <v>450.00</v>
      </c>
      <c r="L267" t="str">
        <f>"450.00"</f>
        <v>450.00</v>
      </c>
      <c r="M267" t="str">
        <f t="shared" si="63"/>
        <v>NIL</v>
      </c>
      <c r="N267" t="str">
        <f>"KHIRIL ANUAR BIN ABU"</f>
        <v>KHIRIL ANUAR BIN ABU</v>
      </c>
      <c r="O267" t="str">
        <f>"MAYBANK"</f>
        <v>MAYBANK</v>
      </c>
      <c r="P267" t="str">
        <f>"MBBEMYKL"</f>
        <v>MBBEMYKL</v>
      </c>
      <c r="Q267" t="str">
        <f t="shared" si="57"/>
        <v>NIL</v>
      </c>
      <c r="R267" t="str">
        <f t="shared" si="64"/>
        <v>NIL</v>
      </c>
      <c r="S267" t="str">
        <f>"iPAY to KHIRIL ANUAR BIN ABU (MAYBANK: 564490050063) (Ref No: 270114158729)"</f>
        <v>iPAY to KHIRIL ANUAR BIN ABU (MAYBANK: 564490050063) (Ref No: 270114158729)</v>
      </c>
      <c r="T267" t="str">
        <f t="shared" si="65"/>
        <v>2014-01-27</v>
      </c>
      <c r="U267" t="s">
        <v>32</v>
      </c>
      <c r="V267" t="str">
        <f>"Successful"</f>
        <v>Successful</v>
      </c>
      <c r="W267" t="str">
        <f>"270114158729"</f>
        <v>270114158729</v>
      </c>
      <c r="X267" t="str">
        <f t="shared" si="58"/>
        <v>219.93.33.173</v>
      </c>
    </row>
    <row r="268" spans="1:24">
      <c r="A268" t="s">
        <v>291</v>
      </c>
      <c r="B268" t="str">
        <f>"27/01/2014 15:37:30"</f>
        <v>27/01/2014 15:37:30</v>
      </c>
      <c r="C268" t="str">
        <f t="shared" si="59"/>
        <v>2560</v>
      </c>
      <c r="D268" t="str">
        <f t="shared" si="60"/>
        <v>kiab81</v>
      </c>
      <c r="E268" t="str">
        <f t="shared" si="61"/>
        <v>KHIRIL ISZWAN BIN ABU BAKAR</v>
      </c>
      <c r="F268" t="str">
        <f t="shared" si="62"/>
        <v>001102009641</v>
      </c>
      <c r="G268" t="str">
        <f>"169954034144"</f>
        <v>169954034144</v>
      </c>
      <c r="H268" t="str">
        <f t="shared" si="54"/>
        <v>MYR</v>
      </c>
      <c r="I268" t="str">
        <f t="shared" si="54"/>
        <v>MYR</v>
      </c>
      <c r="J268" t="str">
        <f>"2008-10-22"</f>
        <v>2008-10-22</v>
      </c>
      <c r="K268" t="str">
        <f>"206.00"</f>
        <v>206.00</v>
      </c>
      <c r="L268" t="str">
        <f>"206.00"</f>
        <v>206.00</v>
      </c>
      <c r="M268" t="str">
        <f t="shared" si="63"/>
        <v>NIL</v>
      </c>
      <c r="N268" t="str">
        <f>"MONIS SURYANI BINTI"</f>
        <v>MONIS SURYANI BINTI</v>
      </c>
      <c r="O268" t="str">
        <f>"MAYBANK"</f>
        <v>MAYBANK</v>
      </c>
      <c r="P268" t="str">
        <f>"MBBEMYKL"</f>
        <v>MBBEMYKL</v>
      </c>
      <c r="Q268" t="str">
        <f t="shared" si="57"/>
        <v>NIL</v>
      </c>
      <c r="R268" t="str">
        <f t="shared" si="64"/>
        <v>NIL</v>
      </c>
      <c r="S268" t="str">
        <f>"iPAY to MONIS SURYANI BINTI (MAYBANK: 169954034144) (Ref No: 270114158734)"</f>
        <v>iPAY to MONIS SURYANI BINTI (MAYBANK: 169954034144) (Ref No: 270114158734)</v>
      </c>
      <c r="T268" t="str">
        <f t="shared" si="65"/>
        <v>2014-01-27</v>
      </c>
      <c r="U268" t="s">
        <v>32</v>
      </c>
      <c r="V268" t="str">
        <f>"Successful"</f>
        <v>Successful</v>
      </c>
      <c r="W268" t="str">
        <f>"270114158734"</f>
        <v>270114158734</v>
      </c>
      <c r="X268" t="str">
        <f t="shared" si="58"/>
        <v>219.93.33.173</v>
      </c>
    </row>
    <row r="269" spans="1:24">
      <c r="A269" t="s">
        <v>292</v>
      </c>
      <c r="B269" t="str">
        <f>"27/01/2014 15:38:40"</f>
        <v>27/01/2014 15:38:40</v>
      </c>
      <c r="C269" t="str">
        <f t="shared" si="59"/>
        <v>2560</v>
      </c>
      <c r="D269" t="str">
        <f t="shared" si="60"/>
        <v>kiab81</v>
      </c>
      <c r="E269" t="str">
        <f t="shared" si="61"/>
        <v>KHIRIL ISZWAN BIN ABU BAKAR</v>
      </c>
      <c r="F269" t="str">
        <f t="shared" si="62"/>
        <v>001102009641</v>
      </c>
      <c r="G269" t="str">
        <f>"14430004987058"</f>
        <v>14430004987058</v>
      </c>
      <c r="H269" t="str">
        <f t="shared" si="54"/>
        <v>MYR</v>
      </c>
      <c r="I269" t="str">
        <f t="shared" si="54"/>
        <v>MYR</v>
      </c>
      <c r="J269" t="str">
        <f>"NIL"</f>
        <v>NIL</v>
      </c>
      <c r="K269" t="str">
        <f>"500.00"</f>
        <v>500.00</v>
      </c>
      <c r="L269" t="str">
        <f>"500.00"</f>
        <v>500.00</v>
      </c>
      <c r="M269" t="str">
        <f t="shared" si="63"/>
        <v>NIL</v>
      </c>
      <c r="N269" t="str">
        <f>"MONIS JEHAN B"</f>
        <v>MONIS JEHAN B</v>
      </c>
      <c r="O269" t="str">
        <f>"CIMB BANK"</f>
        <v>CIMB BANK</v>
      </c>
      <c r="P269" t="str">
        <f>"CIBBMYKL"</f>
        <v>CIBBMYKL</v>
      </c>
      <c r="Q269" t="str">
        <f t="shared" si="57"/>
        <v>NIL</v>
      </c>
      <c r="R269" t="str">
        <f t="shared" si="64"/>
        <v>NIL</v>
      </c>
      <c r="S269" t="str">
        <f>"iPAY to MONIS JEHAN B (CIMB BANK: 14430004987058)"</f>
        <v>iPAY to MONIS JEHAN B (CIMB BANK: 14430004987058)</v>
      </c>
      <c r="T269" t="str">
        <f t="shared" si="65"/>
        <v>2014-01-27</v>
      </c>
      <c r="U269" t="s">
        <v>34</v>
      </c>
      <c r="V269" t="str">
        <f>"System error"</f>
        <v>System error</v>
      </c>
      <c r="W269" t="str">
        <f>"NIL"</f>
        <v>NIL</v>
      </c>
      <c r="X269" t="str">
        <f t="shared" si="58"/>
        <v>219.93.33.173</v>
      </c>
    </row>
    <row r="270" spans="1:24">
      <c r="A270" t="s">
        <v>293</v>
      </c>
      <c r="B270" t="str">
        <f>"27/01/2014 15:39:14"</f>
        <v>27/01/2014 15:39:14</v>
      </c>
      <c r="C270" t="str">
        <f t="shared" si="59"/>
        <v>2560</v>
      </c>
      <c r="D270" t="str">
        <f t="shared" si="60"/>
        <v>kiab81</v>
      </c>
      <c r="E270" t="str">
        <f t="shared" si="61"/>
        <v>KHIRIL ISZWAN BIN ABU BAKAR</v>
      </c>
      <c r="F270" t="str">
        <f t="shared" si="62"/>
        <v>001102009641</v>
      </c>
      <c r="G270" t="str">
        <f>"14430004987058"</f>
        <v>14430004987058</v>
      </c>
      <c r="H270" t="str">
        <f t="shared" ref="H270:I289" si="66">"MYR"</f>
        <v>MYR</v>
      </c>
      <c r="I270" t="str">
        <f t="shared" si="66"/>
        <v>MYR</v>
      </c>
      <c r="J270" t="str">
        <f>"2008-10-22"</f>
        <v>2008-10-22</v>
      </c>
      <c r="K270" t="str">
        <f>"500.00"</f>
        <v>500.00</v>
      </c>
      <c r="L270" t="str">
        <f>"500.00"</f>
        <v>500.00</v>
      </c>
      <c r="M270" t="str">
        <f t="shared" si="63"/>
        <v>NIL</v>
      </c>
      <c r="N270" t="str">
        <f>"MONIS JEHAN B"</f>
        <v>MONIS JEHAN B</v>
      </c>
      <c r="O270" t="str">
        <f>"CIMB BANK"</f>
        <v>CIMB BANK</v>
      </c>
      <c r="P270" t="str">
        <f>"CIBBMYKL"</f>
        <v>CIBBMYKL</v>
      </c>
      <c r="Q270" t="str">
        <f t="shared" si="57"/>
        <v>NIL</v>
      </c>
      <c r="R270" t="str">
        <f t="shared" si="64"/>
        <v>NIL</v>
      </c>
      <c r="S270" t="str">
        <f>"iPAY to MONIS JEHAN B (CIMB BANK: 14430004987058) (Ref No: 270114158738)"</f>
        <v>iPAY to MONIS JEHAN B (CIMB BANK: 14430004987058) (Ref No: 270114158738)</v>
      </c>
      <c r="T270" t="str">
        <f t="shared" si="65"/>
        <v>2014-01-27</v>
      </c>
      <c r="U270" t="s">
        <v>32</v>
      </c>
      <c r="V270" t="str">
        <f>"Successful"</f>
        <v>Successful</v>
      </c>
      <c r="W270" t="str">
        <f>"270114158738"</f>
        <v>270114158738</v>
      </c>
      <c r="X270" t="str">
        <f t="shared" si="58"/>
        <v>219.93.33.173</v>
      </c>
    </row>
    <row r="271" spans="1:24">
      <c r="A271" t="s">
        <v>294</v>
      </c>
      <c r="B271" t="str">
        <f>"27/01/2014 15:40:17"</f>
        <v>27/01/2014 15:40:17</v>
      </c>
      <c r="C271" t="str">
        <f t="shared" si="59"/>
        <v>2560</v>
      </c>
      <c r="D271" t="str">
        <f t="shared" si="60"/>
        <v>kiab81</v>
      </c>
      <c r="E271" t="str">
        <f t="shared" si="61"/>
        <v>KHIRIL ISZWAN BIN ABU BAKAR</v>
      </c>
      <c r="F271" t="str">
        <f t="shared" si="62"/>
        <v>001102009641</v>
      </c>
      <c r="G271" t="str">
        <f>"1410041000217094"</f>
        <v>1410041000217094</v>
      </c>
      <c r="H271" t="str">
        <f t="shared" si="66"/>
        <v>MYR</v>
      </c>
      <c r="I271" t="str">
        <f t="shared" si="66"/>
        <v>MYR</v>
      </c>
      <c r="J271" t="str">
        <f>"NIL"</f>
        <v>NIL</v>
      </c>
      <c r="K271" t="str">
        <f>"700.00"</f>
        <v>700.00</v>
      </c>
      <c r="L271" t="str">
        <f>"700.00"</f>
        <v>700.00</v>
      </c>
      <c r="M271" t="str">
        <f t="shared" si="63"/>
        <v>NIL</v>
      </c>
      <c r="N271" t="str">
        <f>"KHIRIL ISZWAN BIN AB"</f>
        <v>KHIRIL ISZWAN BIN AB</v>
      </c>
      <c r="O271" t="str">
        <f>"BANK SIMPANAN NASIONAL"</f>
        <v>BANK SIMPANAN NASIONAL</v>
      </c>
      <c r="P271" t="str">
        <f>"BSNAMYKL"</f>
        <v>BSNAMYKL</v>
      </c>
      <c r="Q271" t="str">
        <f t="shared" si="57"/>
        <v>NIL</v>
      </c>
      <c r="R271" t="str">
        <f t="shared" si="64"/>
        <v>NIL</v>
      </c>
      <c r="S271" t="str">
        <f>"iPAY to KHIRIL ISZWAN BIN AB (BANK SIMPANAN NASIONAL: 1410041000217094)"</f>
        <v>iPAY to KHIRIL ISZWAN BIN AB (BANK SIMPANAN NASIONAL: 1410041000217094)</v>
      </c>
      <c r="T271" t="str">
        <f t="shared" si="65"/>
        <v>2014-01-27</v>
      </c>
      <c r="U271" t="s">
        <v>34</v>
      </c>
      <c r="V271" t="str">
        <f>"System error"</f>
        <v>System error</v>
      </c>
      <c r="W271" t="str">
        <f>"NIL"</f>
        <v>NIL</v>
      </c>
      <c r="X271" t="str">
        <f t="shared" si="58"/>
        <v>219.93.33.173</v>
      </c>
    </row>
    <row r="272" spans="1:24">
      <c r="A272" t="s">
        <v>295</v>
      </c>
      <c r="B272" t="str">
        <f>"27/01/2014 15:40:58"</f>
        <v>27/01/2014 15:40:58</v>
      </c>
      <c r="C272" t="str">
        <f t="shared" si="59"/>
        <v>2560</v>
      </c>
      <c r="D272" t="str">
        <f t="shared" si="60"/>
        <v>kiab81</v>
      </c>
      <c r="E272" t="str">
        <f t="shared" si="61"/>
        <v>KHIRIL ISZWAN BIN ABU BAKAR</v>
      </c>
      <c r="F272" t="str">
        <f t="shared" si="62"/>
        <v>001102009641</v>
      </c>
      <c r="G272" t="str">
        <f>"1410041000217094"</f>
        <v>1410041000217094</v>
      </c>
      <c r="H272" t="str">
        <f t="shared" si="66"/>
        <v>MYR</v>
      </c>
      <c r="I272" t="str">
        <f t="shared" si="66"/>
        <v>MYR</v>
      </c>
      <c r="J272" t="str">
        <f>"2008-10-22"</f>
        <v>2008-10-22</v>
      </c>
      <c r="K272" t="str">
        <f>"700.00"</f>
        <v>700.00</v>
      </c>
      <c r="L272" t="str">
        <f>"700.00"</f>
        <v>700.00</v>
      </c>
      <c r="M272" t="str">
        <f t="shared" si="63"/>
        <v>NIL</v>
      </c>
      <c r="N272" t="str">
        <f>"KHIRIL ISZWAN BIN AB"</f>
        <v>KHIRIL ISZWAN BIN AB</v>
      </c>
      <c r="O272" t="str">
        <f>"BANK SIMPANAN NASIONAL"</f>
        <v>BANK SIMPANAN NASIONAL</v>
      </c>
      <c r="P272" t="str">
        <f>"BSNAMYKL"</f>
        <v>BSNAMYKL</v>
      </c>
      <c r="Q272" t="str">
        <f t="shared" si="57"/>
        <v>NIL</v>
      </c>
      <c r="R272" t="str">
        <f t="shared" si="64"/>
        <v>NIL</v>
      </c>
      <c r="S272" t="str">
        <f>"iPAY to KHIRIL ISZWAN BIN AB (BANK SIMPANAN NASIONAL: 1410041000217094) (Ref No: 270114158742)"</f>
        <v>iPAY to KHIRIL ISZWAN BIN AB (BANK SIMPANAN NASIONAL: 1410041000217094) (Ref No: 270114158742)</v>
      </c>
      <c r="T272" t="str">
        <f t="shared" si="65"/>
        <v>2014-01-27</v>
      </c>
      <c r="U272" t="s">
        <v>32</v>
      </c>
      <c r="V272" t="str">
        <f>"Successful"</f>
        <v>Successful</v>
      </c>
      <c r="W272" t="str">
        <f>"270114158742"</f>
        <v>270114158742</v>
      </c>
      <c r="X272" t="str">
        <f t="shared" si="58"/>
        <v>219.93.33.173</v>
      </c>
    </row>
    <row r="273" spans="1:24">
      <c r="A273" t="s">
        <v>296</v>
      </c>
      <c r="B273" t="str">
        <f>"27/01/2014 15:43:01"</f>
        <v>27/01/2014 15:43:01</v>
      </c>
      <c r="C273" t="str">
        <f t="shared" si="59"/>
        <v>2560</v>
      </c>
      <c r="D273" t="str">
        <f t="shared" si="60"/>
        <v>kiab81</v>
      </c>
      <c r="E273" t="str">
        <f t="shared" si="61"/>
        <v>KHIRIL ISZWAN BIN ABU BAKAR</v>
      </c>
      <c r="F273" t="str">
        <f t="shared" si="62"/>
        <v>001102009641</v>
      </c>
      <c r="G273" t="str">
        <f>"5400072701545232"</f>
        <v>5400072701545232</v>
      </c>
      <c r="H273" t="str">
        <f t="shared" si="66"/>
        <v>MYR</v>
      </c>
      <c r="I273" t="str">
        <f t="shared" si="66"/>
        <v>MYR</v>
      </c>
      <c r="J273" t="str">
        <f>"NIL"</f>
        <v>NIL</v>
      </c>
      <c r="K273" t="str">
        <f>"350.00"</f>
        <v>350.00</v>
      </c>
      <c r="L273" t="str">
        <f>"350.00"</f>
        <v>350.00</v>
      </c>
      <c r="M273" t="str">
        <f t="shared" si="63"/>
        <v>NIL</v>
      </c>
      <c r="N273" t="str">
        <f>"KHIRIL ISZWAN"</f>
        <v>KHIRIL ISZWAN</v>
      </c>
      <c r="O273" t="str">
        <f>"CIMB BANK"</f>
        <v>CIMB BANK</v>
      </c>
      <c r="P273" t="str">
        <f>"CIBBMYKL"</f>
        <v>CIBBMYKL</v>
      </c>
      <c r="Q273" t="str">
        <f t="shared" si="57"/>
        <v>NIL</v>
      </c>
      <c r="R273" t="str">
        <f t="shared" si="64"/>
        <v>NIL</v>
      </c>
      <c r="S273" t="str">
        <f>"iPAY to KHIRIL ISZWAN (CIMB BANK: 5400072701545232)"</f>
        <v>iPAY to KHIRIL ISZWAN (CIMB BANK: 5400072701545232)</v>
      </c>
      <c r="T273" t="str">
        <f t="shared" si="65"/>
        <v>2014-01-27</v>
      </c>
      <c r="U273" t="s">
        <v>34</v>
      </c>
      <c r="V273" t="str">
        <f>"System error"</f>
        <v>System error</v>
      </c>
      <c r="W273" t="str">
        <f>"NIL"</f>
        <v>NIL</v>
      </c>
      <c r="X273" t="str">
        <f t="shared" si="58"/>
        <v>219.93.33.173</v>
      </c>
    </row>
    <row r="274" spans="1:24">
      <c r="A274" t="s">
        <v>297</v>
      </c>
      <c r="B274" t="str">
        <f>"27/01/2014 15:43:45"</f>
        <v>27/01/2014 15:43:45</v>
      </c>
      <c r="C274" t="str">
        <f t="shared" si="59"/>
        <v>2560</v>
      </c>
      <c r="D274" t="str">
        <f t="shared" si="60"/>
        <v>kiab81</v>
      </c>
      <c r="E274" t="str">
        <f t="shared" si="61"/>
        <v>KHIRIL ISZWAN BIN ABU BAKAR</v>
      </c>
      <c r="F274" t="str">
        <f t="shared" si="62"/>
        <v>001102009641</v>
      </c>
      <c r="G274" t="str">
        <f>"5400072701545232"</f>
        <v>5400072701545232</v>
      </c>
      <c r="H274" t="str">
        <f t="shared" si="66"/>
        <v>MYR</v>
      </c>
      <c r="I274" t="str">
        <f t="shared" si="66"/>
        <v>MYR</v>
      </c>
      <c r="J274" t="str">
        <f>"2008-10-22"</f>
        <v>2008-10-22</v>
      </c>
      <c r="K274" t="str">
        <f>"350.00"</f>
        <v>350.00</v>
      </c>
      <c r="L274" t="str">
        <f>"350.00"</f>
        <v>350.00</v>
      </c>
      <c r="M274" t="str">
        <f t="shared" si="63"/>
        <v>NIL</v>
      </c>
      <c r="N274" t="str">
        <f>"KHIRIL ISZWAN"</f>
        <v>KHIRIL ISZWAN</v>
      </c>
      <c r="O274" t="str">
        <f>"CIMB BANK"</f>
        <v>CIMB BANK</v>
      </c>
      <c r="P274" t="str">
        <f>"CIBBMYKL"</f>
        <v>CIBBMYKL</v>
      </c>
      <c r="Q274" t="str">
        <f t="shared" si="57"/>
        <v>NIL</v>
      </c>
      <c r="R274" t="str">
        <f t="shared" si="64"/>
        <v>NIL</v>
      </c>
      <c r="S274" t="str">
        <f>"iPAY to KHIRIL ISZWAN (CIMB BANK: 5400072701545232) (Ref No: 270114158748)"</f>
        <v>iPAY to KHIRIL ISZWAN (CIMB BANK: 5400072701545232) (Ref No: 270114158748)</v>
      </c>
      <c r="T274" t="str">
        <f t="shared" si="65"/>
        <v>2014-01-27</v>
      </c>
      <c r="U274" t="s">
        <v>32</v>
      </c>
      <c r="V274" t="str">
        <f>"Successful"</f>
        <v>Successful</v>
      </c>
      <c r="W274" t="str">
        <f>"270114158748"</f>
        <v>270114158748</v>
      </c>
      <c r="X274" t="str">
        <f t="shared" si="58"/>
        <v>219.93.33.173</v>
      </c>
    </row>
    <row r="275" spans="1:24">
      <c r="A275" t="s">
        <v>298</v>
      </c>
      <c r="B275" t="str">
        <f>"27/01/2014 15:44:55"</f>
        <v>27/01/2014 15:44:55</v>
      </c>
      <c r="C275" t="str">
        <f>"10299"</f>
        <v>10299</v>
      </c>
      <c r="D275" t="str">
        <f>"jtwc05"</f>
        <v>jtwc05</v>
      </c>
      <c r="E275" t="str">
        <f>"TAN WUI CHIEN @ JENNY TAN"</f>
        <v>TAN WUI CHIEN @ JENNY TAN</v>
      </c>
      <c r="F275" t="str">
        <f>"001102024608"</f>
        <v>001102024608</v>
      </c>
      <c r="G275" t="str">
        <f>"115120014500"</f>
        <v>115120014500</v>
      </c>
      <c r="H275" t="str">
        <f t="shared" si="66"/>
        <v>MYR</v>
      </c>
      <c r="I275" t="str">
        <f t="shared" si="66"/>
        <v>MYR</v>
      </c>
      <c r="J275" t="str">
        <f>"2011-04-04"</f>
        <v>2011-04-04</v>
      </c>
      <c r="K275" t="str">
        <f>"1000.00"</f>
        <v>1000.00</v>
      </c>
      <c r="L275" t="str">
        <f>"1000.00"</f>
        <v>1000.00</v>
      </c>
      <c r="M275" t="str">
        <f t="shared" si="63"/>
        <v>NIL</v>
      </c>
      <c r="N275" t="str">
        <f>"MS TAN WUI CHIEN/"</f>
        <v>MS TAN WUI CHIEN/</v>
      </c>
      <c r="O275" t="str">
        <f>"MAYBANK"</f>
        <v>MAYBANK</v>
      </c>
      <c r="P275" t="str">
        <f>"MBBEMYKL"</f>
        <v>MBBEMYKL</v>
      </c>
      <c r="Q275" t="str">
        <f t="shared" si="57"/>
        <v>NIL</v>
      </c>
      <c r="R275" t="str">
        <f>"jtwc05@yahoo.com"</f>
        <v>jtwc05@yahoo.com</v>
      </c>
      <c r="S275" t="str">
        <f>"iPAY to MS TAN WUI CHIEN/ (MAYBANK: 115120014500) (Ref No: 270114158752)"</f>
        <v>iPAY to MS TAN WUI CHIEN/ (MAYBANK: 115120014500) (Ref No: 270114158752)</v>
      </c>
      <c r="T275" t="str">
        <f t="shared" si="65"/>
        <v>2014-01-27</v>
      </c>
      <c r="U275" t="s">
        <v>32</v>
      </c>
      <c r="V275" t="str">
        <f>"Successful"</f>
        <v>Successful</v>
      </c>
      <c r="W275" t="str">
        <f>"270114158752"</f>
        <v>270114158752</v>
      </c>
      <c r="X275" t="str">
        <f>"60.51.130.221"</f>
        <v>60.51.130.221</v>
      </c>
    </row>
    <row r="276" spans="1:24">
      <c r="A276" t="s">
        <v>299</v>
      </c>
      <c r="B276" t="str">
        <f>"27/01/2014 15:49:27"</f>
        <v>27/01/2014 15:49:27</v>
      </c>
      <c r="C276" t="str">
        <f>"6752"</f>
        <v>6752</v>
      </c>
      <c r="D276" t="str">
        <f>"kamal820722"</f>
        <v>kamal820722</v>
      </c>
      <c r="E276" t="str">
        <f>"MASNI BINTI MIAN"</f>
        <v>MASNI BINTI MIAN</v>
      </c>
      <c r="F276" t="str">
        <f>"001102017458"</f>
        <v>001102017458</v>
      </c>
      <c r="G276" t="str">
        <f>"562889102378"</f>
        <v>562889102378</v>
      </c>
      <c r="H276" t="str">
        <f t="shared" si="66"/>
        <v>MYR</v>
      </c>
      <c r="I276" t="str">
        <f t="shared" si="66"/>
        <v>MYR</v>
      </c>
      <c r="J276" t="str">
        <f>"2010-06-16"</f>
        <v>2010-06-16</v>
      </c>
      <c r="K276" t="str">
        <f>"350.00"</f>
        <v>350.00</v>
      </c>
      <c r="L276" t="str">
        <f>"350.00"</f>
        <v>350.00</v>
      </c>
      <c r="M276" t="str">
        <f>"Feb Fee - Amirul Raf"</f>
        <v>Feb Fee - Amirul Raf</v>
      </c>
      <c r="N276" t="str">
        <f>"BRAINY BUNCH INTERNA"</f>
        <v>BRAINY BUNCH INTERNA</v>
      </c>
      <c r="O276" t="str">
        <f>"MAYBANK"</f>
        <v>MAYBANK</v>
      </c>
      <c r="P276" t="str">
        <f>"MBBEMYKL"</f>
        <v>MBBEMYKL</v>
      </c>
      <c r="Q276" t="str">
        <f t="shared" si="57"/>
        <v>NIL</v>
      </c>
      <c r="R276" t="str">
        <f>"ampangpoint@brainybunch.com"</f>
        <v>ampangpoint@brainybunch.com</v>
      </c>
      <c r="S276" t="str">
        <f>"iPAY to BRAINY BUNCH INTERNA (MAYBANK: 562889102378) (Ref No: 270114158756)"</f>
        <v>iPAY to BRAINY BUNCH INTERNA (MAYBANK: 562889102378) (Ref No: 270114158756)</v>
      </c>
      <c r="T276" t="str">
        <f t="shared" si="65"/>
        <v>2014-01-27</v>
      </c>
      <c r="U276" t="s">
        <v>32</v>
      </c>
      <c r="V276" t="str">
        <f>"Successful"</f>
        <v>Successful</v>
      </c>
      <c r="W276" t="str">
        <f>"270114158756"</f>
        <v>270114158756</v>
      </c>
      <c r="X276" t="str">
        <f>"219.93.33.173"</f>
        <v>219.93.33.173</v>
      </c>
    </row>
    <row r="277" spans="1:24">
      <c r="A277" t="s">
        <v>300</v>
      </c>
      <c r="B277" t="str">
        <f>"27/01/2014 16:07:11"</f>
        <v>27/01/2014 16:07:11</v>
      </c>
      <c r="C277" t="str">
        <f>"7449"</f>
        <v>7449</v>
      </c>
      <c r="D277" t="str">
        <f>"Zuri_1983"</f>
        <v>Zuri_1983</v>
      </c>
      <c r="E277" t="str">
        <f>"ZURI FAZILA BINTI AHMAD"</f>
        <v>ZURI FAZILA BINTI AHMAD</v>
      </c>
      <c r="F277" t="str">
        <f>"007102003334"</f>
        <v>007102003334</v>
      </c>
      <c r="G277" t="str">
        <f>"131007202316263"</f>
        <v>131007202316263</v>
      </c>
      <c r="H277" t="str">
        <f t="shared" si="66"/>
        <v>MYR</v>
      </c>
      <c r="I277" t="str">
        <f t="shared" si="66"/>
        <v>MYR</v>
      </c>
      <c r="J277" t="str">
        <f>"NIL"</f>
        <v>NIL</v>
      </c>
      <c r="K277" t="str">
        <f>"680.00"</f>
        <v>680.00</v>
      </c>
      <c r="L277" t="str">
        <f>"680.00"</f>
        <v>680.00</v>
      </c>
      <c r="M277" t="str">
        <f>"pf bsn pymnt"</f>
        <v>pf bsn pymnt</v>
      </c>
      <c r="N277" t="str">
        <f>"ZURI FAZILA BINTI AH"</f>
        <v>ZURI FAZILA BINTI AH</v>
      </c>
      <c r="O277" t="str">
        <f>"BANK SIMPANAN NASIONAL"</f>
        <v>BANK SIMPANAN NASIONAL</v>
      </c>
      <c r="P277" t="str">
        <f>"BSNAMYKL"</f>
        <v>BSNAMYKL</v>
      </c>
      <c r="Q277" t="str">
        <f t="shared" si="57"/>
        <v>NIL</v>
      </c>
      <c r="R277" t="str">
        <f>"zurifazila@yahoo.com"</f>
        <v>zurifazila@yahoo.com</v>
      </c>
      <c r="S277" t="str">
        <f>"iPAY to ZURI FAZILA BINTI AH (BANK SIMPANAN NASIONAL: 131007202316263)"</f>
        <v>iPAY to ZURI FAZILA BINTI AH (BANK SIMPANAN NASIONAL: 131007202316263)</v>
      </c>
      <c r="T277" t="str">
        <f t="shared" si="65"/>
        <v>2014-01-27</v>
      </c>
      <c r="U277" t="s">
        <v>34</v>
      </c>
      <c r="V277" t="str">
        <f>"System error"</f>
        <v>System error</v>
      </c>
      <c r="W277" t="str">
        <f>"NIL"</f>
        <v>NIL</v>
      </c>
      <c r="X277" t="str">
        <f>"219.93.33.173"</f>
        <v>219.93.33.173</v>
      </c>
    </row>
    <row r="278" spans="1:24">
      <c r="A278" t="s">
        <v>301</v>
      </c>
      <c r="B278" t="str">
        <f>"27/01/2014 16:09:07"</f>
        <v>27/01/2014 16:09:07</v>
      </c>
      <c r="C278" t="str">
        <f>"40098"</f>
        <v>40098</v>
      </c>
      <c r="D278" t="str">
        <f>"iefamieya11"</f>
        <v>iefamieya11</v>
      </c>
      <c r="E278" t="str">
        <f>"NORZARIFAH BINTI ZAINAL ABIDIN"</f>
        <v>NORZARIFAH BINTI ZAINAL ABIDIN</v>
      </c>
      <c r="F278" t="str">
        <f>"011103003222"</f>
        <v>011103003222</v>
      </c>
      <c r="G278" t="str">
        <f>"562106623665"</f>
        <v>562106623665</v>
      </c>
      <c r="H278" t="str">
        <f t="shared" si="66"/>
        <v>MYR</v>
      </c>
      <c r="I278" t="str">
        <f t="shared" si="66"/>
        <v>MYR</v>
      </c>
      <c r="J278" t="str">
        <f>"2012-05-08"</f>
        <v>2012-05-08</v>
      </c>
      <c r="K278" t="str">
        <f>"50.00"</f>
        <v>50.00</v>
      </c>
      <c r="L278" t="str">
        <f>"50.00"</f>
        <v>50.00</v>
      </c>
      <c r="M278" t="str">
        <f>"24434"</f>
        <v>24434</v>
      </c>
      <c r="N278" t="str">
        <f>"DARUL THIBBUNNABAWI"</f>
        <v>DARUL THIBBUNNABAWI</v>
      </c>
      <c r="O278" t="str">
        <f>"MAYBANK"</f>
        <v>MAYBANK</v>
      </c>
      <c r="P278" t="str">
        <f>"MBBEMYKL"</f>
        <v>MBBEMYKL</v>
      </c>
      <c r="Q278" t="str">
        <f>"861105"</f>
        <v>861105</v>
      </c>
      <c r="R278" t="str">
        <f>"iefamieya11@gmail.com"</f>
        <v>iefamieya11@gmail.com</v>
      </c>
      <c r="S278" t="str">
        <f>"iPAY to DARUL THIBBUNNABAWI (MAYBANK: 562106623665) (Ref No: 270114158760)"</f>
        <v>iPAY to DARUL THIBBUNNABAWI (MAYBANK: 562106623665) (Ref No: 270114158760)</v>
      </c>
      <c r="T278" t="str">
        <f t="shared" si="65"/>
        <v>2014-01-27</v>
      </c>
      <c r="U278" t="s">
        <v>32</v>
      </c>
      <c r="V278" t="str">
        <f>"Successful"</f>
        <v>Successful</v>
      </c>
      <c r="W278" t="str">
        <f>"270114158760"</f>
        <v>270114158760</v>
      </c>
      <c r="X278" t="str">
        <f>"219.92.3.125"</f>
        <v>219.92.3.125</v>
      </c>
    </row>
    <row r="279" spans="1:24">
      <c r="A279" t="s">
        <v>302</v>
      </c>
      <c r="B279" t="str">
        <f>"27/01/2014 16:15:20"</f>
        <v>27/01/2014 16:15:20</v>
      </c>
      <c r="C279" t="str">
        <f>"4159"</f>
        <v>4159</v>
      </c>
      <c r="D279" t="str">
        <f>"n_lynx83"</f>
        <v>n_lynx83</v>
      </c>
      <c r="E279" t="str">
        <f>"NORSURIANIE BINTI SUPATDY"</f>
        <v>NORSURIANIE BINTI SUPATDY</v>
      </c>
      <c r="F279" t="str">
        <f>"001102013312"</f>
        <v>001102013312</v>
      </c>
      <c r="G279" t="str">
        <f>"4530916227"</f>
        <v>4530916227</v>
      </c>
      <c r="H279" t="str">
        <f t="shared" si="66"/>
        <v>MYR</v>
      </c>
      <c r="I279" t="str">
        <f t="shared" si="66"/>
        <v>MYR</v>
      </c>
      <c r="J279" t="str">
        <f>"NIL"</f>
        <v>NIL</v>
      </c>
      <c r="K279" t="str">
        <f>"100.00"</f>
        <v>100.00</v>
      </c>
      <c r="L279" t="str">
        <f>"100.00"</f>
        <v>100.00</v>
      </c>
      <c r="M279" t="str">
        <f>"kutu"</f>
        <v>kutu</v>
      </c>
      <c r="N279" t="str">
        <f>"RAJA YONG AZNI"</f>
        <v>RAJA YONG AZNI</v>
      </c>
      <c r="O279" t="str">
        <f>"PUBLIC BANK"</f>
        <v>PUBLIC BANK</v>
      </c>
      <c r="P279" t="str">
        <f>"PBBEMYKL"</f>
        <v>PBBEMYKL</v>
      </c>
      <c r="Q279" t="str">
        <f>"NIL"</f>
        <v>NIL</v>
      </c>
      <c r="R279" t="str">
        <f>"NIL"</f>
        <v>NIL</v>
      </c>
      <c r="S279" t="str">
        <f>"iPAY to RAJA YONG AZNI (PUBLIC BANK: 4530916227)"</f>
        <v>iPAY to RAJA YONG AZNI (PUBLIC BANK: 4530916227)</v>
      </c>
      <c r="T279" t="str">
        <f t="shared" si="65"/>
        <v>2014-01-27</v>
      </c>
      <c r="U279" t="s">
        <v>34</v>
      </c>
      <c r="V279" t="str">
        <f>"System error"</f>
        <v>System error</v>
      </c>
      <c r="W279" t="str">
        <f>"NIL"</f>
        <v>NIL</v>
      </c>
      <c r="X279" t="str">
        <f>"219.93.33.173"</f>
        <v>219.93.33.173</v>
      </c>
    </row>
    <row r="280" spans="1:24">
      <c r="A280" t="s">
        <v>303</v>
      </c>
      <c r="B280" t="str">
        <f>"27/01/2014 16:23:00"</f>
        <v>27/01/2014 16:23:00</v>
      </c>
      <c r="C280" t="str">
        <f>"8293"</f>
        <v>8293</v>
      </c>
      <c r="D280" t="str">
        <f>"Lornie"</f>
        <v>Lornie</v>
      </c>
      <c r="E280" t="str">
        <f>"LIM LAW NEE"</f>
        <v>LIM LAW NEE</v>
      </c>
      <c r="F280" t="str">
        <f>"004102009396"</f>
        <v>004102009396</v>
      </c>
      <c r="G280" t="str">
        <f>"011030020000975"</f>
        <v>011030020000975</v>
      </c>
      <c r="H280" t="str">
        <f t="shared" si="66"/>
        <v>MYR</v>
      </c>
      <c r="I280" t="str">
        <f t="shared" si="66"/>
        <v>MYR</v>
      </c>
      <c r="J280" t="str">
        <f>"2010-11-26"</f>
        <v>2010-11-26</v>
      </c>
      <c r="K280" t="str">
        <f>"2500.00"</f>
        <v>2500.00</v>
      </c>
      <c r="L280" t="str">
        <f>"2500.00"</f>
        <v>2500.00</v>
      </c>
      <c r="M280" t="str">
        <f>"trf"</f>
        <v>trf</v>
      </c>
      <c r="N280" t="str">
        <f>"LIM LAW NEE"</f>
        <v>LIM LAW NEE</v>
      </c>
      <c r="O280" t="str">
        <f>"ALLIANCE BANK"</f>
        <v>ALLIANCE BANK</v>
      </c>
      <c r="P280" t="str">
        <f>"MFBBMYKL"</f>
        <v>MFBBMYKL</v>
      </c>
      <c r="Q280" t="str">
        <f t="shared" ref="Q280:Q288" si="67">"NIL"</f>
        <v>NIL</v>
      </c>
      <c r="R280" t="str">
        <f>"lim.law.nee@kfh.com.my"</f>
        <v>lim.law.nee@kfh.com.my</v>
      </c>
      <c r="S280" t="str">
        <f>"iPAY to LIM LAW NEE (ALLIANCE BANK: 011030020000975) (Ref No: 270114158767)"</f>
        <v>iPAY to LIM LAW NEE (ALLIANCE BANK: 011030020000975) (Ref No: 270114158767)</v>
      </c>
      <c r="T280" t="str">
        <f t="shared" si="65"/>
        <v>2014-01-27</v>
      </c>
      <c r="U280" t="s">
        <v>32</v>
      </c>
      <c r="V280" t="str">
        <f>"Successful"</f>
        <v>Successful</v>
      </c>
      <c r="W280" t="str">
        <f>"270114158767"</f>
        <v>270114158767</v>
      </c>
      <c r="X280" t="str">
        <f>"219.93.33.173"</f>
        <v>219.93.33.173</v>
      </c>
    </row>
    <row r="281" spans="1:24">
      <c r="A281" t="s">
        <v>304</v>
      </c>
      <c r="B281" t="str">
        <f>"27/01/2014 16:29:15"</f>
        <v>27/01/2014 16:29:15</v>
      </c>
      <c r="C281" t="str">
        <f>"10762"</f>
        <v>10762</v>
      </c>
      <c r="D281" t="str">
        <f>"ony_qistina88"</f>
        <v>ony_qistina88</v>
      </c>
      <c r="E281" t="str">
        <f>"TENGKU ONY QISTINA BINTI TENGKU MOHAMED"</f>
        <v>TENGKU ONY QISTINA BINTI TENGKU MOHAMED</v>
      </c>
      <c r="F281" t="str">
        <f>"001102025256"</f>
        <v>001102025256</v>
      </c>
      <c r="G281" t="str">
        <f>"5436232801396641"</f>
        <v>5436232801396641</v>
      </c>
      <c r="H281" t="str">
        <f t="shared" si="66"/>
        <v>MYR</v>
      </c>
      <c r="I281" t="str">
        <f t="shared" si="66"/>
        <v>MYR</v>
      </c>
      <c r="J281" t="str">
        <f>"2011-04-18"</f>
        <v>2011-04-18</v>
      </c>
      <c r="K281" t="str">
        <f>"120.00"</f>
        <v>120.00</v>
      </c>
      <c r="L281" t="str">
        <f>"120.00"</f>
        <v>120.00</v>
      </c>
      <c r="M281" t="str">
        <f>"payment "</f>
        <v xml:space="preserve">payment </v>
      </c>
      <c r="N281" t="str">
        <f>"TENGKU ONY QISTINA"</f>
        <v>TENGKU ONY QISTINA</v>
      </c>
      <c r="O281" t="str">
        <f>"UNITED OVERSEAS BANK"</f>
        <v>UNITED OVERSEAS BANK</v>
      </c>
      <c r="P281" t="str">
        <f>"UOVBMYKL"</f>
        <v>UOVBMYKL</v>
      </c>
      <c r="Q281" t="str">
        <f t="shared" si="67"/>
        <v>NIL</v>
      </c>
      <c r="R281" t="str">
        <f>"ony.qistina@kfh.com.my"</f>
        <v>ony.qistina@kfh.com.my</v>
      </c>
      <c r="S281" t="str">
        <f>"iPAY to TENGKU ONY QISTINA (UNITED OVERSEAS BANK: 5436232801396641) (Ref No: 270114158771)"</f>
        <v>iPAY to TENGKU ONY QISTINA (UNITED OVERSEAS BANK: 5436232801396641) (Ref No: 270114158771)</v>
      </c>
      <c r="T281" t="str">
        <f t="shared" si="65"/>
        <v>2014-01-27</v>
      </c>
      <c r="U281" t="s">
        <v>32</v>
      </c>
      <c r="V281" t="str">
        <f>"Successful"</f>
        <v>Successful</v>
      </c>
      <c r="W281" t="str">
        <f>"270114158771"</f>
        <v>270114158771</v>
      </c>
      <c r="X281" t="str">
        <f>"219.93.33.173"</f>
        <v>219.93.33.173</v>
      </c>
    </row>
    <row r="282" spans="1:24">
      <c r="A282" t="s">
        <v>305</v>
      </c>
      <c r="B282" t="str">
        <f>"27/01/2014 16:39:39"</f>
        <v>27/01/2014 16:39:39</v>
      </c>
      <c r="C282" t="str">
        <f>"10310"</f>
        <v>10310</v>
      </c>
      <c r="D282" t="str">
        <f>"Shiela"</f>
        <v>Shiela</v>
      </c>
      <c r="E282" t="str">
        <f>"NOORLELA BINTI MOHD NOOR"</f>
        <v>NOORLELA BINTI MOHD NOOR</v>
      </c>
      <c r="F282" t="str">
        <f>"001101000133"</f>
        <v>001101000133</v>
      </c>
      <c r="G282" t="str">
        <f>"12051323804520"</f>
        <v>12051323804520</v>
      </c>
      <c r="H282" t="str">
        <f t="shared" si="66"/>
        <v>MYR</v>
      </c>
      <c r="I282" t="str">
        <f t="shared" si="66"/>
        <v>MYR</v>
      </c>
      <c r="J282" t="str">
        <f>"2011-04-04"</f>
        <v>2011-04-04</v>
      </c>
      <c r="K282" t="str">
        <f t="shared" ref="K282:L284" si="68">"200.00"</f>
        <v>200.00</v>
      </c>
      <c r="L282" t="str">
        <f t="shared" si="68"/>
        <v>200.00</v>
      </c>
      <c r="M282" t="str">
        <f>"NIL"</f>
        <v>NIL</v>
      </c>
      <c r="N282" t="str">
        <f>"LAILI BINTI M"</f>
        <v>LAILI BINTI M</v>
      </c>
      <c r="O282" t="str">
        <f>"CIMB BANK"</f>
        <v>CIMB BANK</v>
      </c>
      <c r="P282" t="str">
        <f>"CIBBMYKL"</f>
        <v>CIBBMYKL</v>
      </c>
      <c r="Q282" t="str">
        <f t="shared" si="67"/>
        <v>NIL</v>
      </c>
      <c r="R282" t="str">
        <f>"NIL"</f>
        <v>NIL</v>
      </c>
      <c r="S282" t="str">
        <f>"iPAY to LAILI BINTI M (CIMB BANK: 12051323804520) (Ref No: 270114158776)"</f>
        <v>iPAY to LAILI BINTI M (CIMB BANK: 12051323804520) (Ref No: 270114158776)</v>
      </c>
      <c r="T282" t="str">
        <f t="shared" si="65"/>
        <v>2014-01-27</v>
      </c>
      <c r="U282" t="s">
        <v>32</v>
      </c>
      <c r="V282" t="str">
        <f>"Successful"</f>
        <v>Successful</v>
      </c>
      <c r="W282" t="str">
        <f>"270114158776"</f>
        <v>270114158776</v>
      </c>
      <c r="X282" t="str">
        <f>"219.93.33.173"</f>
        <v>219.93.33.173</v>
      </c>
    </row>
    <row r="283" spans="1:24">
      <c r="A283" t="s">
        <v>306</v>
      </c>
      <c r="B283" t="str">
        <f>"27/01/2014 16:40:29"</f>
        <v>27/01/2014 16:40:29</v>
      </c>
      <c r="C283" t="str">
        <f>"3610"</f>
        <v>3610</v>
      </c>
      <c r="D283" t="str">
        <f>"riaziah19"</f>
        <v>riaziah19</v>
      </c>
      <c r="E283" t="str">
        <f>"RIAZIAH BINTI JAWHAR ALI"</f>
        <v>RIAZIAH BINTI JAWHAR ALI</v>
      </c>
      <c r="F283" t="str">
        <f>"001102012359"</f>
        <v>001102012359</v>
      </c>
      <c r="G283" t="str">
        <f>"16413300076480"</f>
        <v>16413300076480</v>
      </c>
      <c r="H283" t="str">
        <f t="shared" si="66"/>
        <v>MYR</v>
      </c>
      <c r="I283" t="str">
        <f t="shared" si="66"/>
        <v>MYR</v>
      </c>
      <c r="J283" t="str">
        <f>"NIL"</f>
        <v>NIL</v>
      </c>
      <c r="K283" t="str">
        <f t="shared" si="68"/>
        <v>200.00</v>
      </c>
      <c r="L283" t="str">
        <f t="shared" si="68"/>
        <v>200.00</v>
      </c>
      <c r="M283" t="str">
        <f>"trf"</f>
        <v>trf</v>
      </c>
      <c r="N283" t="str">
        <f>"RIAZIAH BINTI"</f>
        <v>RIAZIAH BINTI</v>
      </c>
      <c r="O283" t="str">
        <f>"RHB BANK"</f>
        <v>RHB BANK</v>
      </c>
      <c r="P283" t="str">
        <f>"RHBBMYKL"</f>
        <v>RHBBMYKL</v>
      </c>
      <c r="Q283" t="str">
        <f t="shared" si="67"/>
        <v>NIL</v>
      </c>
      <c r="R283" t="str">
        <f>"NIL"</f>
        <v>NIL</v>
      </c>
      <c r="S283" t="str">
        <f>"iPAY to RIAZIAH BINTI (RHB BANK: 16413300076480)"</f>
        <v>iPAY to RIAZIAH BINTI (RHB BANK: 16413300076480)</v>
      </c>
      <c r="T283" t="str">
        <f t="shared" si="65"/>
        <v>2014-01-27</v>
      </c>
      <c r="U283" t="s">
        <v>34</v>
      </c>
      <c r="V283" t="str">
        <f>"System error"</f>
        <v>System error</v>
      </c>
      <c r="W283" t="str">
        <f>"NIL"</f>
        <v>NIL</v>
      </c>
      <c r="X283" t="str">
        <f>"103.1.69.14"</f>
        <v>103.1.69.14</v>
      </c>
    </row>
    <row r="284" spans="1:24">
      <c r="A284" t="s">
        <v>307</v>
      </c>
      <c r="B284" t="str">
        <f>"27/01/2014 16:42:43"</f>
        <v>27/01/2014 16:42:43</v>
      </c>
      <c r="C284" t="str">
        <f>"3610"</f>
        <v>3610</v>
      </c>
      <c r="D284" t="str">
        <f>"riaziah19"</f>
        <v>riaziah19</v>
      </c>
      <c r="E284" t="str">
        <f>"RIAZIAH BINTI JAWHAR ALI"</f>
        <v>RIAZIAH BINTI JAWHAR ALI</v>
      </c>
      <c r="F284" t="str">
        <f>"001102012359"</f>
        <v>001102012359</v>
      </c>
      <c r="G284" t="str">
        <f>"16413300076480"</f>
        <v>16413300076480</v>
      </c>
      <c r="H284" t="str">
        <f t="shared" si="66"/>
        <v>MYR</v>
      </c>
      <c r="I284" t="str">
        <f t="shared" si="66"/>
        <v>MYR</v>
      </c>
      <c r="J284" t="str">
        <f>"2009-02-24"</f>
        <v>2009-02-24</v>
      </c>
      <c r="K284" t="str">
        <f t="shared" si="68"/>
        <v>200.00</v>
      </c>
      <c r="L284" t="str">
        <f t="shared" si="68"/>
        <v>200.00</v>
      </c>
      <c r="M284" t="str">
        <f>"NIL"</f>
        <v>NIL</v>
      </c>
      <c r="N284" t="str">
        <f>"RIAZIAH BINTI"</f>
        <v>RIAZIAH BINTI</v>
      </c>
      <c r="O284" t="str">
        <f>"RHB BANK"</f>
        <v>RHB BANK</v>
      </c>
      <c r="P284" t="str">
        <f>"RHBBMYKL"</f>
        <v>RHBBMYKL</v>
      </c>
      <c r="Q284" t="str">
        <f t="shared" si="67"/>
        <v>NIL</v>
      </c>
      <c r="R284" t="str">
        <f>"NIL"</f>
        <v>NIL</v>
      </c>
      <c r="S284" t="str">
        <f>"iPAY to RIAZIAH BINTI (RHB BANK: 16413300076480) (Ref No: 270114158782)"</f>
        <v>iPAY to RIAZIAH BINTI (RHB BANK: 16413300076480) (Ref No: 270114158782)</v>
      </c>
      <c r="T284" t="str">
        <f t="shared" si="65"/>
        <v>2014-01-27</v>
      </c>
      <c r="U284" t="s">
        <v>32</v>
      </c>
      <c r="V284" t="str">
        <f>"Successful"</f>
        <v>Successful</v>
      </c>
      <c r="W284" t="str">
        <f>"270114158782"</f>
        <v>270114158782</v>
      </c>
      <c r="X284" t="str">
        <f>"103.1.69.14"</f>
        <v>103.1.69.14</v>
      </c>
    </row>
    <row r="285" spans="1:24">
      <c r="A285" t="s">
        <v>308</v>
      </c>
      <c r="B285" t="str">
        <f>"27/01/2014 16:42:59"</f>
        <v>27/01/2014 16:42:59</v>
      </c>
      <c r="C285" t="str">
        <f>"10310"</f>
        <v>10310</v>
      </c>
      <c r="D285" t="str">
        <f>"Shiela"</f>
        <v>Shiela</v>
      </c>
      <c r="E285" t="str">
        <f>"NOORLELA BINTI MOHD NOOR"</f>
        <v>NOORLELA BINTI MOHD NOOR</v>
      </c>
      <c r="F285" t="str">
        <f>"001101000133"</f>
        <v>001101000133</v>
      </c>
      <c r="G285" t="str">
        <f>"001425958060"</f>
        <v>001425958060</v>
      </c>
      <c r="H285" t="str">
        <f t="shared" si="66"/>
        <v>MYR</v>
      </c>
      <c r="I285" t="str">
        <f t="shared" si="66"/>
        <v>MYR</v>
      </c>
      <c r="J285" t="str">
        <f>"NIL"</f>
        <v>NIL</v>
      </c>
      <c r="K285" t="str">
        <f>"400.00"</f>
        <v>400.00</v>
      </c>
      <c r="L285" t="str">
        <f>"400.00"</f>
        <v>400.00</v>
      </c>
      <c r="M285" t="str">
        <f>"NIL"</f>
        <v>NIL</v>
      </c>
      <c r="N285" t="str">
        <f>"NOORLELA MOHD NOOR"</f>
        <v>NOORLELA MOHD NOOR</v>
      </c>
      <c r="O285" t="str">
        <f>"HSBC BANK / HSBC AMANAH"</f>
        <v>HSBC BANK / HSBC AMANAH</v>
      </c>
      <c r="P285" t="str">
        <f>"HBMBMYKL"</f>
        <v>HBMBMYKL</v>
      </c>
      <c r="Q285" t="str">
        <f t="shared" si="67"/>
        <v>NIL</v>
      </c>
      <c r="R285" t="str">
        <f>"NIL"</f>
        <v>NIL</v>
      </c>
      <c r="S285" t="str">
        <f>"iPAY to NOORLELA MOHD NOOR (HSBC BANK / HSBC AMANAH: 001425958060)"</f>
        <v>iPAY to NOORLELA MOHD NOOR (HSBC BANK / HSBC AMANAH: 001425958060)</v>
      </c>
      <c r="T285" t="str">
        <f t="shared" si="65"/>
        <v>2014-01-27</v>
      </c>
      <c r="U285" t="s">
        <v>34</v>
      </c>
      <c r="V285" t="str">
        <f>"System error"</f>
        <v>System error</v>
      </c>
      <c r="W285" t="str">
        <f>"NIL"</f>
        <v>NIL</v>
      </c>
      <c r="X285" t="str">
        <f t="shared" ref="X285:X290" si="69">"219.93.33.173"</f>
        <v>219.93.33.173</v>
      </c>
    </row>
    <row r="286" spans="1:24">
      <c r="A286" t="s">
        <v>309</v>
      </c>
      <c r="B286" t="str">
        <f>"27/01/2014 16:44:00"</f>
        <v>27/01/2014 16:44:00</v>
      </c>
      <c r="C286" t="str">
        <f>"10310"</f>
        <v>10310</v>
      </c>
      <c r="D286" t="str">
        <f>"Shiela"</f>
        <v>Shiela</v>
      </c>
      <c r="E286" t="str">
        <f>"NOORLELA BINTI MOHD NOOR"</f>
        <v>NOORLELA BINTI MOHD NOOR</v>
      </c>
      <c r="F286" t="str">
        <f>"001101000133"</f>
        <v>001101000133</v>
      </c>
      <c r="G286" t="str">
        <f>"26412400017490"</f>
        <v>26412400017490</v>
      </c>
      <c r="H286" t="str">
        <f t="shared" si="66"/>
        <v>MYR</v>
      </c>
      <c r="I286" t="str">
        <f t="shared" si="66"/>
        <v>MYR</v>
      </c>
      <c r="J286" t="str">
        <f>"2011-04-04"</f>
        <v>2011-04-04</v>
      </c>
      <c r="K286" t="str">
        <f>"1000.00"</f>
        <v>1000.00</v>
      </c>
      <c r="L286" t="str">
        <f>"1000.00"</f>
        <v>1000.00</v>
      </c>
      <c r="M286" t="str">
        <f>"NIL"</f>
        <v>NIL</v>
      </c>
      <c r="N286" t="str">
        <f>"NOORLELA BINT"</f>
        <v>NOORLELA BINT</v>
      </c>
      <c r="O286" t="str">
        <f>"RHB BANK"</f>
        <v>RHB BANK</v>
      </c>
      <c r="P286" t="str">
        <f>"RHBBMYKL"</f>
        <v>RHBBMYKL</v>
      </c>
      <c r="Q286" t="str">
        <f t="shared" si="67"/>
        <v>NIL</v>
      </c>
      <c r="R286" t="str">
        <f>"lela_noor@yahoo.com"</f>
        <v>lela_noor@yahoo.com</v>
      </c>
      <c r="S286" t="str">
        <f>"iPAY to NOORLELA BINT (RHB BANK: 26412400017490) (Ref No: 270114158787)"</f>
        <v>iPAY to NOORLELA BINT (RHB BANK: 26412400017490) (Ref No: 270114158787)</v>
      </c>
      <c r="T286" t="str">
        <f t="shared" si="65"/>
        <v>2014-01-27</v>
      </c>
      <c r="U286" t="s">
        <v>32</v>
      </c>
      <c r="V286" t="str">
        <f>"Successful"</f>
        <v>Successful</v>
      </c>
      <c r="W286" t="str">
        <f>"270114158787"</f>
        <v>270114158787</v>
      </c>
      <c r="X286" t="str">
        <f t="shared" si="69"/>
        <v>219.93.33.173</v>
      </c>
    </row>
    <row r="287" spans="1:24">
      <c r="A287" t="s">
        <v>310</v>
      </c>
      <c r="B287" t="str">
        <f>"27/01/2014 16:44:02"</f>
        <v>27/01/2014 16:44:02</v>
      </c>
      <c r="C287" t="str">
        <f>"36413"</f>
        <v>36413</v>
      </c>
      <c r="D287" t="str">
        <f>"liyanaizyan"</f>
        <v>liyanaizyan</v>
      </c>
      <c r="E287" t="str">
        <f>"NURLIYANA IZYAN BINTI MAHAMOOD"</f>
        <v>NURLIYANA IZYAN BINTI MAHAMOOD</v>
      </c>
      <c r="F287" t="str">
        <f>"001103015397"</f>
        <v>001103015397</v>
      </c>
      <c r="G287" t="str">
        <f>"12038025418099"</f>
        <v>12038025418099</v>
      </c>
      <c r="H287" t="str">
        <f t="shared" si="66"/>
        <v>MYR</v>
      </c>
      <c r="I287" t="str">
        <f t="shared" si="66"/>
        <v>MYR</v>
      </c>
      <c r="J287" t="str">
        <f>"2012-02-08"</f>
        <v>2012-02-08</v>
      </c>
      <c r="K287" t="str">
        <f>"100.00"</f>
        <v>100.00</v>
      </c>
      <c r="L287" t="str">
        <f>"100.00"</f>
        <v>100.00</v>
      </c>
      <c r="M287" t="str">
        <f>"vacay"</f>
        <v>vacay</v>
      </c>
      <c r="N287" t="str">
        <f>"CIK NURLIYANA IZYAN BINTI"</f>
        <v>CIK NURLIYANA IZYAN BINTI</v>
      </c>
      <c r="O287" t="str">
        <f>"BANK ISLAM MALAYSIA BHD"</f>
        <v>BANK ISLAM MALAYSIA BHD</v>
      </c>
      <c r="P287" t="str">
        <f>"BIMBMYKL"</f>
        <v>BIMBMYKL</v>
      </c>
      <c r="Q287" t="str">
        <f t="shared" si="67"/>
        <v>NIL</v>
      </c>
      <c r="R287" t="str">
        <f>"nurliyana.izyan@kfh.com.my"</f>
        <v>nurliyana.izyan@kfh.com.my</v>
      </c>
      <c r="S287" t="str">
        <f>"iPAY to CIK NURLIYANA IZYAN BINTI (BANK ISLAM MALAYSIA BHD: 12038025418099) (Ref No: 270114158779)"</f>
        <v>iPAY to CIK NURLIYANA IZYAN BINTI (BANK ISLAM MALAYSIA BHD: 12038025418099) (Ref No: 270114158779)</v>
      </c>
      <c r="T287" t="str">
        <f t="shared" si="65"/>
        <v>2014-01-27</v>
      </c>
      <c r="U287" t="s">
        <v>32</v>
      </c>
      <c r="V287" t="str">
        <f>"Successful"</f>
        <v>Successful</v>
      </c>
      <c r="W287" t="str">
        <f>"270114158779"</f>
        <v>270114158779</v>
      </c>
      <c r="X287" t="str">
        <f t="shared" si="69"/>
        <v>219.93.33.173</v>
      </c>
    </row>
    <row r="288" spans="1:24">
      <c r="A288" t="s">
        <v>311</v>
      </c>
      <c r="B288" t="str">
        <f>"27/01/2014 16:44:21"</f>
        <v>27/01/2014 16:44:21</v>
      </c>
      <c r="C288" t="str">
        <f>"10762"</f>
        <v>10762</v>
      </c>
      <c r="D288" t="str">
        <f>"ony_qistina88"</f>
        <v>ony_qistina88</v>
      </c>
      <c r="E288" t="str">
        <f>"TENGKU ONY QISTINA BINTI TENGKU MOHAMED"</f>
        <v>TENGKU ONY QISTINA BINTI TENGKU MOHAMED</v>
      </c>
      <c r="F288" t="str">
        <f>"001102025256"</f>
        <v>001102025256</v>
      </c>
      <c r="G288" t="str">
        <f>"03010012082523"</f>
        <v>03010012082523</v>
      </c>
      <c r="H288" t="str">
        <f t="shared" si="66"/>
        <v>MYR</v>
      </c>
      <c r="I288" t="str">
        <f t="shared" si="66"/>
        <v>MYR</v>
      </c>
      <c r="J288" t="str">
        <f>"NIL"</f>
        <v>NIL</v>
      </c>
      <c r="K288" t="str">
        <f>"175.00"</f>
        <v>175.00</v>
      </c>
      <c r="L288" t="str">
        <f>"175.00"</f>
        <v>175.00</v>
      </c>
      <c r="M288" t="str">
        <f>"NIL"</f>
        <v>NIL</v>
      </c>
      <c r="N288" t="str">
        <f>"TG FATIMAH BT"</f>
        <v>TG FATIMAH BT</v>
      </c>
      <c r="O288" t="str">
        <f>"CIMB BANK"</f>
        <v>CIMB BANK</v>
      </c>
      <c r="P288" t="str">
        <f>"CIBBMYKL"</f>
        <v>CIBBMYKL</v>
      </c>
      <c r="Q288" t="str">
        <f t="shared" si="67"/>
        <v>NIL</v>
      </c>
      <c r="R288" t="str">
        <f>"ony.qistina@kfh.com.my"</f>
        <v>ony.qistina@kfh.com.my</v>
      </c>
      <c r="S288" t="str">
        <f>"iPAY to TG FATIMAH BT (CIMB BANK: 03010012082523)"</f>
        <v>iPAY to TG FATIMAH BT (CIMB BANK: 03010012082523)</v>
      </c>
      <c r="T288" t="str">
        <f t="shared" si="65"/>
        <v>2014-01-27</v>
      </c>
      <c r="U288" t="s">
        <v>34</v>
      </c>
      <c r="V288" t="str">
        <f>"System error"</f>
        <v>System error</v>
      </c>
      <c r="W288" t="str">
        <f>"NIL"</f>
        <v>NIL</v>
      </c>
      <c r="X288" t="str">
        <f t="shared" si="69"/>
        <v>219.93.33.173</v>
      </c>
    </row>
    <row r="289" spans="1:24">
      <c r="A289" t="s">
        <v>312</v>
      </c>
      <c r="B289" t="str">
        <f>"27/01/2014 16:47:57"</f>
        <v>27/01/2014 16:47:57</v>
      </c>
      <c r="C289" t="str">
        <f>"6038"</f>
        <v>6038</v>
      </c>
      <c r="D289" t="str">
        <f>"zalizan"</f>
        <v>zalizan</v>
      </c>
      <c r="E289" t="str">
        <f>"ZALIZAN BIN MUID"</f>
        <v>ZALIZAN BIN MUID</v>
      </c>
      <c r="F289" t="str">
        <f>"001102015943"</f>
        <v>001102015943</v>
      </c>
      <c r="G289" t="str">
        <f>"12550000573054"</f>
        <v>12550000573054</v>
      </c>
      <c r="H289" t="str">
        <f t="shared" si="66"/>
        <v>MYR</v>
      </c>
      <c r="I289" t="str">
        <f t="shared" si="66"/>
        <v>MYR</v>
      </c>
      <c r="J289" t="str">
        <f>"2010-02-23"</f>
        <v>2010-02-23</v>
      </c>
      <c r="K289" t="str">
        <f>"4000.00"</f>
        <v>4000.00</v>
      </c>
      <c r="L289" t="str">
        <f>"4000.00"</f>
        <v>4000.00</v>
      </c>
      <c r="M289" t="str">
        <f>"homeloan"</f>
        <v>homeloan</v>
      </c>
      <c r="N289" t="str">
        <f>"ZALIZAN MUID"</f>
        <v>ZALIZAN MUID</v>
      </c>
      <c r="O289" t="str">
        <f>"CIMB BANK"</f>
        <v>CIMB BANK</v>
      </c>
      <c r="P289" t="str">
        <f>"CIBBMYKL"</f>
        <v>CIBBMYKL</v>
      </c>
      <c r="Q289" t="str">
        <f>"573054"</f>
        <v>573054</v>
      </c>
      <c r="R289" t="str">
        <f>"zalizan.muid@kfh.com.my"</f>
        <v>zalizan.muid@kfh.com.my</v>
      </c>
      <c r="S289" t="str">
        <f>"iPAY to ZALIZAN MUID (CIMB BANK: 12550000573054) (Ref No: 270114158790)"</f>
        <v>iPAY to ZALIZAN MUID (CIMB BANK: 12550000573054) (Ref No: 270114158790)</v>
      </c>
      <c r="T289" t="str">
        <f t="shared" si="65"/>
        <v>2014-01-27</v>
      </c>
      <c r="U289" t="s">
        <v>32</v>
      </c>
      <c r="V289" t="str">
        <f>"Successful"</f>
        <v>Successful</v>
      </c>
      <c r="W289" t="str">
        <f>"270114158790"</f>
        <v>270114158790</v>
      </c>
      <c r="X289" t="str">
        <f t="shared" si="69"/>
        <v>219.93.33.173</v>
      </c>
    </row>
    <row r="290" spans="1:24">
      <c r="A290" t="s">
        <v>313</v>
      </c>
      <c r="B290" t="str">
        <f>"27/01/2014 16:49:21"</f>
        <v>27/01/2014 16:49:21</v>
      </c>
      <c r="C290" t="str">
        <f>"8299"</f>
        <v>8299</v>
      </c>
      <c r="D290" t="str">
        <f>"hanafiah"</f>
        <v>hanafiah</v>
      </c>
      <c r="E290" t="str">
        <f>"MOHAMED HANAFIAH BIN HARON"</f>
        <v>MOHAMED HANAFIAH BIN HARON</v>
      </c>
      <c r="F290" t="str">
        <f>"002102005885"</f>
        <v>002102005885</v>
      </c>
      <c r="G290" t="str">
        <f>"21205900229672"</f>
        <v>21205900229672</v>
      </c>
      <c r="H290" t="str">
        <f t="shared" ref="H290:I309" si="70">"MYR"</f>
        <v>MYR</v>
      </c>
      <c r="I290" t="str">
        <f t="shared" si="70"/>
        <v>MYR</v>
      </c>
      <c r="J290" t="str">
        <f>"2010-11-26"</f>
        <v>2010-11-26</v>
      </c>
      <c r="K290" t="str">
        <f>"3000.00"</f>
        <v>3000.00</v>
      </c>
      <c r="L290" t="str">
        <f>"3000.00"</f>
        <v>3000.00</v>
      </c>
      <c r="M290" t="str">
        <f>"NIL"</f>
        <v>NIL</v>
      </c>
      <c r="N290" t="str">
        <f>"MOHAMAD HANAF"</f>
        <v>MOHAMAD HANAF</v>
      </c>
      <c r="O290" t="str">
        <f>"RHB BANK"</f>
        <v>RHB BANK</v>
      </c>
      <c r="P290" t="str">
        <f>"RHBBMYKL"</f>
        <v>RHBBMYKL</v>
      </c>
      <c r="Q290" t="str">
        <f>"NIL"</f>
        <v>NIL</v>
      </c>
      <c r="R290" t="str">
        <f>"mazidah_hosnodin@rhbbank.com.my"</f>
        <v>mazidah_hosnodin@rhbbank.com.my</v>
      </c>
      <c r="S290" t="str">
        <f>"iPAY to MOHAMAD HANAF (RHB BANK: 21205900229672) (Ref No: 270114158795)"</f>
        <v>iPAY to MOHAMAD HANAF (RHB BANK: 21205900229672) (Ref No: 270114158795)</v>
      </c>
      <c r="T290" t="str">
        <f t="shared" si="65"/>
        <v>2014-01-27</v>
      </c>
      <c r="U290" t="s">
        <v>32</v>
      </c>
      <c r="V290" t="str">
        <f>"Successful"</f>
        <v>Successful</v>
      </c>
      <c r="W290" t="str">
        <f>"270114158795"</f>
        <v>270114158795</v>
      </c>
      <c r="X290" t="str">
        <f t="shared" si="69"/>
        <v>219.93.33.173</v>
      </c>
    </row>
    <row r="291" spans="1:24">
      <c r="A291" t="s">
        <v>314</v>
      </c>
      <c r="B291" t="str">
        <f>"27/01/2014 16:49:42"</f>
        <v>27/01/2014 16:49:42</v>
      </c>
      <c r="C291" t="str">
        <f>"35103"</f>
        <v>35103</v>
      </c>
      <c r="D291" t="str">
        <f>"mushthaq"</f>
        <v>mushthaq</v>
      </c>
      <c r="E291" t="str">
        <f>"MUSHTHAQ AHMAD BIN A.M. IBRAHIM"</f>
        <v>MUSHTHAQ AHMAD BIN A.M. IBRAHIM</v>
      </c>
      <c r="F291" t="str">
        <f>"001102031795"</f>
        <v>001102031795</v>
      </c>
      <c r="G291" t="str">
        <f>"14260006639007"</f>
        <v>14260006639007</v>
      </c>
      <c r="H291" t="str">
        <f t="shared" si="70"/>
        <v>MYR</v>
      </c>
      <c r="I291" t="str">
        <f t="shared" si="70"/>
        <v>MYR</v>
      </c>
      <c r="J291" t="str">
        <f>"NIL"</f>
        <v>NIL</v>
      </c>
      <c r="K291" t="str">
        <f>"5000.00"</f>
        <v>5000.00</v>
      </c>
      <c r="L291" t="str">
        <f>"5000.00"</f>
        <v>5000.00</v>
      </c>
      <c r="M291" t="str">
        <f>"Lawyer-Ferro"</f>
        <v>Lawyer-Ferro</v>
      </c>
      <c r="N291" t="str">
        <f>"JARGIT SINGH"</f>
        <v>JARGIT SINGH</v>
      </c>
      <c r="O291" t="str">
        <f>"CIMB BANK"</f>
        <v>CIMB BANK</v>
      </c>
      <c r="P291" t="str">
        <f>"CIBBMYKL"</f>
        <v>CIBBMYKL</v>
      </c>
      <c r="Q291" t="str">
        <f>"02"</f>
        <v>02</v>
      </c>
      <c r="R291" t="str">
        <f>"mushthaq63@gmail.com"</f>
        <v>mushthaq63@gmail.com</v>
      </c>
      <c r="S291" t="str">
        <f>"iPAY to JARGIT SINGH (CIMB BANK: 14260006639007)"</f>
        <v>iPAY to JARGIT SINGH (CIMB BANK: 14260006639007)</v>
      </c>
      <c r="T291" t="str">
        <f t="shared" si="65"/>
        <v>2014-01-27</v>
      </c>
      <c r="U291" t="s">
        <v>34</v>
      </c>
      <c r="V291" t="str">
        <f>"System error"</f>
        <v>System error</v>
      </c>
      <c r="W291" t="str">
        <f>"NIL"</f>
        <v>NIL</v>
      </c>
      <c r="X291" t="str">
        <f>"115.133.181.170"</f>
        <v>115.133.181.170</v>
      </c>
    </row>
    <row r="292" spans="1:24">
      <c r="A292" t="s">
        <v>315</v>
      </c>
      <c r="B292" t="str">
        <f>"27/01/2014 16:52:36"</f>
        <v>27/01/2014 16:52:36</v>
      </c>
      <c r="C292" t="str">
        <f>"35103"</f>
        <v>35103</v>
      </c>
      <c r="D292" t="str">
        <f>"mushthaq"</f>
        <v>mushthaq</v>
      </c>
      <c r="E292" t="str">
        <f>"MUSHTHAQ AHMAD BIN A.M. IBRAHIM"</f>
        <v>MUSHTHAQ AHMAD BIN A.M. IBRAHIM</v>
      </c>
      <c r="F292" t="str">
        <f>"001102031795"</f>
        <v>001102031795</v>
      </c>
      <c r="G292" t="str">
        <f>"14260006639007"</f>
        <v>14260006639007</v>
      </c>
      <c r="H292" t="str">
        <f t="shared" si="70"/>
        <v>MYR</v>
      </c>
      <c r="I292" t="str">
        <f t="shared" si="70"/>
        <v>MYR</v>
      </c>
      <c r="J292" t="str">
        <f>"NIL"</f>
        <v>NIL</v>
      </c>
      <c r="K292" t="str">
        <f>"5000.00"</f>
        <v>5000.00</v>
      </c>
      <c r="L292" t="str">
        <f>"5000.00"</f>
        <v>5000.00</v>
      </c>
      <c r="M292" t="str">
        <f>"Lawyer-Ferro"</f>
        <v>Lawyer-Ferro</v>
      </c>
      <c r="N292" t="str">
        <f>"JARGIT SINGH"</f>
        <v>JARGIT SINGH</v>
      </c>
      <c r="O292" t="str">
        <f>"CIMB BANK"</f>
        <v>CIMB BANK</v>
      </c>
      <c r="P292" t="str">
        <f>"CIBBMYKL"</f>
        <v>CIBBMYKL</v>
      </c>
      <c r="Q292" t="str">
        <f>"02"</f>
        <v>02</v>
      </c>
      <c r="R292" t="str">
        <f>"mushthaq63@gmail.com"</f>
        <v>mushthaq63@gmail.com</v>
      </c>
      <c r="S292" t="str">
        <f>"iPAY to JARGIT SINGH (CIMB BANK: 14260006639007)"</f>
        <v>iPAY to JARGIT SINGH (CIMB BANK: 14260006639007)</v>
      </c>
      <c r="T292" t="str">
        <f t="shared" si="65"/>
        <v>2014-01-27</v>
      </c>
      <c r="U292" t="s">
        <v>34</v>
      </c>
      <c r="V292" t="str">
        <f>"System error"</f>
        <v>System error</v>
      </c>
      <c r="W292" t="str">
        <f>"NIL"</f>
        <v>NIL</v>
      </c>
      <c r="X292" t="str">
        <f>"115.133.181.170"</f>
        <v>115.133.181.170</v>
      </c>
    </row>
    <row r="293" spans="1:24">
      <c r="A293" t="s">
        <v>316</v>
      </c>
      <c r="B293" t="str">
        <f>"27/01/2014 16:55:35"</f>
        <v>27/01/2014 16:55:35</v>
      </c>
      <c r="C293" t="str">
        <f>"8299"</f>
        <v>8299</v>
      </c>
      <c r="D293" t="str">
        <f>"hanafiah"</f>
        <v>hanafiah</v>
      </c>
      <c r="E293" t="str">
        <f>"MOHAMED HANAFIAH BIN HARON"</f>
        <v>MOHAMED HANAFIAH BIN HARON</v>
      </c>
      <c r="F293" t="str">
        <f>"002102005885"</f>
        <v>002102005885</v>
      </c>
      <c r="G293" t="str">
        <f>"164409568251"</f>
        <v>164409568251</v>
      </c>
      <c r="H293" t="str">
        <f t="shared" si="70"/>
        <v>MYR</v>
      </c>
      <c r="I293" t="str">
        <f t="shared" si="70"/>
        <v>MYR</v>
      </c>
      <c r="J293" t="str">
        <f>"2010-11-26"</f>
        <v>2010-11-26</v>
      </c>
      <c r="K293" t="str">
        <f>"500.00"</f>
        <v>500.00</v>
      </c>
      <c r="L293" t="str">
        <f>"500.00"</f>
        <v>500.00</v>
      </c>
      <c r="M293" t="str">
        <f>"NIL"</f>
        <v>NIL</v>
      </c>
      <c r="N293" t="str">
        <f>"MD HESHAMUDIN BIN HA"</f>
        <v>MD HESHAMUDIN BIN HA</v>
      </c>
      <c r="O293" t="str">
        <f>"MAYBANK"</f>
        <v>MAYBANK</v>
      </c>
      <c r="P293" t="str">
        <f>"MBBEMYKL"</f>
        <v>MBBEMYKL</v>
      </c>
      <c r="Q293" t="str">
        <f>"NIL"</f>
        <v>NIL</v>
      </c>
      <c r="R293" t="str">
        <f>"mdheshamudinharun@gmail.com"</f>
        <v>mdheshamudinharun@gmail.com</v>
      </c>
      <c r="S293" t="str">
        <f>"iPAY to MD HESHAMUDIN BIN HA (MAYBANK: 164409568251) (Ref No: 270114158798)"</f>
        <v>iPAY to MD HESHAMUDIN BIN HA (MAYBANK: 164409568251) (Ref No: 270114158798)</v>
      </c>
      <c r="T293" t="str">
        <f t="shared" si="65"/>
        <v>2014-01-27</v>
      </c>
      <c r="U293" t="s">
        <v>32</v>
      </c>
      <c r="V293" t="str">
        <f>"Successful"</f>
        <v>Successful</v>
      </c>
      <c r="W293" t="str">
        <f>"270114158798"</f>
        <v>270114158798</v>
      </c>
      <c r="X293" t="str">
        <f t="shared" ref="X293:X299" si="71">"219.93.33.173"</f>
        <v>219.93.33.173</v>
      </c>
    </row>
    <row r="294" spans="1:24">
      <c r="A294" t="s">
        <v>317</v>
      </c>
      <c r="B294" t="str">
        <f>"27/01/2014 17:00:12"</f>
        <v>27/01/2014 17:00:12</v>
      </c>
      <c r="C294" t="str">
        <f>"7449"</f>
        <v>7449</v>
      </c>
      <c r="D294" t="str">
        <f>"Zuri_1983"</f>
        <v>Zuri_1983</v>
      </c>
      <c r="E294" t="str">
        <f>"ZURI FAZILA BINTI AHMAD"</f>
        <v>ZURI FAZILA BINTI AHMAD</v>
      </c>
      <c r="F294" t="str">
        <f>"007102003334"</f>
        <v>007102003334</v>
      </c>
      <c r="G294" t="str">
        <f>"131007202316263"</f>
        <v>131007202316263</v>
      </c>
      <c r="H294" t="str">
        <f t="shared" si="70"/>
        <v>MYR</v>
      </c>
      <c r="I294" t="str">
        <f t="shared" si="70"/>
        <v>MYR</v>
      </c>
      <c r="J294" t="str">
        <f>"NIL"</f>
        <v>NIL</v>
      </c>
      <c r="K294" t="str">
        <f>"680.00"</f>
        <v>680.00</v>
      </c>
      <c r="L294" t="str">
        <f>"680.00"</f>
        <v>680.00</v>
      </c>
      <c r="M294" t="str">
        <f>"pymnt pf bsn"</f>
        <v>pymnt pf bsn</v>
      </c>
      <c r="N294" t="str">
        <f>"ZURI FAZILA BINTI AH"</f>
        <v>ZURI FAZILA BINTI AH</v>
      </c>
      <c r="O294" t="str">
        <f>"BANK SIMPANAN NASIONAL"</f>
        <v>BANK SIMPANAN NASIONAL</v>
      </c>
      <c r="P294" t="str">
        <f>"BSNAMYKL"</f>
        <v>BSNAMYKL</v>
      </c>
      <c r="Q294" t="str">
        <f>"NIL"</f>
        <v>NIL</v>
      </c>
      <c r="R294" t="str">
        <f>"zurifazila@yahoo.com"</f>
        <v>zurifazila@yahoo.com</v>
      </c>
      <c r="S294" t="str">
        <f>"iPAY to ZURI FAZILA BINTI AH (BANK SIMPANAN NASIONAL: 131007202316263)"</f>
        <v>iPAY to ZURI FAZILA BINTI AH (BANK SIMPANAN NASIONAL: 131007202316263)</v>
      </c>
      <c r="T294" t="str">
        <f t="shared" si="65"/>
        <v>2014-01-27</v>
      </c>
      <c r="U294" t="s">
        <v>34</v>
      </c>
      <c r="V294" t="str">
        <f>"System error"</f>
        <v>System error</v>
      </c>
      <c r="W294" t="str">
        <f>"NIL"</f>
        <v>NIL</v>
      </c>
      <c r="X294" t="str">
        <f t="shared" si="71"/>
        <v>219.93.33.173</v>
      </c>
    </row>
    <row r="295" spans="1:24">
      <c r="A295" t="s">
        <v>318</v>
      </c>
      <c r="B295" t="str">
        <f>"27/01/2014 17:02:38"</f>
        <v>27/01/2014 17:02:38</v>
      </c>
      <c r="C295" t="str">
        <f>"53532"</f>
        <v>53532</v>
      </c>
      <c r="D295" t="str">
        <f>"makyen"</f>
        <v>makyen</v>
      </c>
      <c r="E295" t="str">
        <f>"YENNYLIZA BINTI MASO'OD"</f>
        <v>YENNYLIZA BINTI MASO'OD</v>
      </c>
      <c r="F295" t="str">
        <f>"001102038684"</f>
        <v>001102038684</v>
      </c>
      <c r="G295" t="str">
        <f>"620750093870"</f>
        <v>620750093870</v>
      </c>
      <c r="H295" t="str">
        <f t="shared" si="70"/>
        <v>MYR</v>
      </c>
      <c r="I295" t="str">
        <f t="shared" si="70"/>
        <v>MYR</v>
      </c>
      <c r="J295" t="str">
        <f>"NIL"</f>
        <v>NIL</v>
      </c>
      <c r="K295" t="str">
        <f>"700.00"</f>
        <v>700.00</v>
      </c>
      <c r="L295" t="str">
        <f>"700.00"</f>
        <v>700.00</v>
      </c>
      <c r="M295" t="str">
        <f>"BKR"</f>
        <v>BKR</v>
      </c>
      <c r="N295" t="str">
        <f>"YENNYLIZA BINTI MASO'OD"</f>
        <v>YENNYLIZA BINTI MASO'OD</v>
      </c>
      <c r="O295" t="str">
        <f>"BANK RAKYAT"</f>
        <v>BANK RAKYAT</v>
      </c>
      <c r="P295" t="str">
        <f>"BKRMMYK1"</f>
        <v>BKRMMYK1</v>
      </c>
      <c r="Q295" t="str">
        <f>"BKR"</f>
        <v>BKR</v>
      </c>
      <c r="R295" t="str">
        <f>"yennyliza@gmail.com"</f>
        <v>yennyliza@gmail.com</v>
      </c>
      <c r="S295" t="str">
        <f>"iPAY to YENNYLIZA BINTI MASO'OD (BANK RAKYAT: 620750093870)"</f>
        <v>iPAY to YENNYLIZA BINTI MASO'OD (BANK RAKYAT: 620750093870)</v>
      </c>
      <c r="T295" t="str">
        <f t="shared" si="65"/>
        <v>2014-01-27</v>
      </c>
      <c r="U295" t="s">
        <v>34</v>
      </c>
      <c r="V295" t="str">
        <f>"System error"</f>
        <v>System error</v>
      </c>
      <c r="W295" t="str">
        <f>"NIL"</f>
        <v>NIL</v>
      </c>
      <c r="X295" t="str">
        <f t="shared" si="71"/>
        <v>219.93.33.173</v>
      </c>
    </row>
    <row r="296" spans="1:24">
      <c r="A296" t="s">
        <v>319</v>
      </c>
      <c r="B296" t="str">
        <f>"27/01/2014 17:04:02"</f>
        <v>27/01/2014 17:04:02</v>
      </c>
      <c r="C296" t="str">
        <f>"5778"</f>
        <v>5778</v>
      </c>
      <c r="D296" t="str">
        <f>"didi_rdeq"</f>
        <v>didi_rdeq</v>
      </c>
      <c r="E296" t="str">
        <f>"NUR ROZIDAH BINTI AZADDIN"</f>
        <v>NUR ROZIDAH BINTI AZADDIN</v>
      </c>
      <c r="F296" t="str">
        <f>"003103001381"</f>
        <v>003103001381</v>
      </c>
      <c r="G296" t="str">
        <f>"10803400388099"</f>
        <v>10803400388099</v>
      </c>
      <c r="H296" t="str">
        <f t="shared" si="70"/>
        <v>MYR</v>
      </c>
      <c r="I296" t="str">
        <f t="shared" si="70"/>
        <v>MYR</v>
      </c>
      <c r="J296" t="str">
        <f>"2009-12-24"</f>
        <v>2009-12-24</v>
      </c>
      <c r="K296" t="str">
        <f>"100.00"</f>
        <v>100.00</v>
      </c>
      <c r="L296" t="str">
        <f>"100.00"</f>
        <v>100.00</v>
      </c>
      <c r="M296" t="str">
        <f>"rhb faizal azlan"</f>
        <v>rhb faizal azlan</v>
      </c>
      <c r="N296" t="str">
        <f>"MOHD FAIZAL B"</f>
        <v>MOHD FAIZAL B</v>
      </c>
      <c r="O296" t="str">
        <f>"RHB BANK"</f>
        <v>RHB BANK</v>
      </c>
      <c r="P296" t="str">
        <f>"RHBBMYKL"</f>
        <v>RHBBMYKL</v>
      </c>
      <c r="Q296" t="str">
        <f>"123456"</f>
        <v>123456</v>
      </c>
      <c r="R296" t="str">
        <f>"rdeq_lovely@yahoo.com.my"</f>
        <v>rdeq_lovely@yahoo.com.my</v>
      </c>
      <c r="S296" t="str">
        <f>"iPAY to MOHD FAIZAL B (RHB BANK: 10803400388099) (Ref No: 270114158802)"</f>
        <v>iPAY to MOHD FAIZAL B (RHB BANK: 10803400388099) (Ref No: 270114158802)</v>
      </c>
      <c r="T296" t="str">
        <f t="shared" si="65"/>
        <v>2014-01-27</v>
      </c>
      <c r="U296" t="s">
        <v>32</v>
      </c>
      <c r="V296" t="str">
        <f>"Successful"</f>
        <v>Successful</v>
      </c>
      <c r="W296" t="str">
        <f>"270114158802"</f>
        <v>270114158802</v>
      </c>
      <c r="X296" t="str">
        <f t="shared" si="71"/>
        <v>219.93.33.173</v>
      </c>
    </row>
    <row r="297" spans="1:24">
      <c r="A297" t="s">
        <v>320</v>
      </c>
      <c r="B297" t="str">
        <f>"27/01/2014 17:06:43"</f>
        <v>27/01/2014 17:06:43</v>
      </c>
      <c r="C297" t="str">
        <f>"53532"</f>
        <v>53532</v>
      </c>
      <c r="D297" t="str">
        <f>"makyen"</f>
        <v>makyen</v>
      </c>
      <c r="E297" t="str">
        <f>"YENNYLIZA BINTI MASO'OD"</f>
        <v>YENNYLIZA BINTI MASO'OD</v>
      </c>
      <c r="F297" t="str">
        <f>"001102038684"</f>
        <v>001102038684</v>
      </c>
      <c r="G297" t="str">
        <f>"620750093870"</f>
        <v>620750093870</v>
      </c>
      <c r="H297" t="str">
        <f t="shared" si="70"/>
        <v>MYR</v>
      </c>
      <c r="I297" t="str">
        <f t="shared" si="70"/>
        <v>MYR</v>
      </c>
      <c r="J297" t="str">
        <f>"2013-01-09"</f>
        <v>2013-01-09</v>
      </c>
      <c r="K297" t="str">
        <f>"700.00"</f>
        <v>700.00</v>
      </c>
      <c r="L297" t="str">
        <f>"700.00"</f>
        <v>700.00</v>
      </c>
      <c r="M297" t="str">
        <f>"BKR"</f>
        <v>BKR</v>
      </c>
      <c r="N297" t="str">
        <f>"YENNYLIZA BINTI MASO'OD"</f>
        <v>YENNYLIZA BINTI MASO'OD</v>
      </c>
      <c r="O297" t="str">
        <f>"BANK RAKYAT"</f>
        <v>BANK RAKYAT</v>
      </c>
      <c r="P297" t="str">
        <f>"BKRMMYK1"</f>
        <v>BKRMMYK1</v>
      </c>
      <c r="Q297" t="str">
        <f>"BKR"</f>
        <v>BKR</v>
      </c>
      <c r="R297" t="str">
        <f>"yennyliza@gmail.com"</f>
        <v>yennyliza@gmail.com</v>
      </c>
      <c r="S297" t="str">
        <f>"iPAY to YENNYLIZA BINTI MASO'OD (BANK RAKYAT: 620750093870) (Ref No: 270114158806)"</f>
        <v>iPAY to YENNYLIZA BINTI MASO'OD (BANK RAKYAT: 620750093870) (Ref No: 270114158806)</v>
      </c>
      <c r="T297" t="str">
        <f t="shared" si="65"/>
        <v>2014-01-27</v>
      </c>
      <c r="U297" t="s">
        <v>32</v>
      </c>
      <c r="V297" t="str">
        <f>"Successful"</f>
        <v>Successful</v>
      </c>
      <c r="W297" t="str">
        <f>"270114158806"</f>
        <v>270114158806</v>
      </c>
      <c r="X297" t="str">
        <f t="shared" si="71"/>
        <v>219.93.33.173</v>
      </c>
    </row>
    <row r="298" spans="1:24">
      <c r="A298" t="s">
        <v>321</v>
      </c>
      <c r="B298" t="str">
        <f>"27/01/2014 17:07:14"</f>
        <v>27/01/2014 17:07:14</v>
      </c>
      <c r="C298" t="str">
        <f>"9756"</f>
        <v>9756</v>
      </c>
      <c r="D298" t="str">
        <f>"jas630601"</f>
        <v>jas630601</v>
      </c>
      <c r="E298" t="str">
        <f>"JASNI BINTI OTHMAN"</f>
        <v>JASNI BINTI OTHMAN</v>
      </c>
      <c r="F298" t="str">
        <f>"001102023865"</f>
        <v>001102023865</v>
      </c>
      <c r="G298" t="str">
        <f>"114011676653"</f>
        <v>114011676653</v>
      </c>
      <c r="H298" t="str">
        <f t="shared" si="70"/>
        <v>MYR</v>
      </c>
      <c r="I298" t="str">
        <f t="shared" si="70"/>
        <v>MYR</v>
      </c>
      <c r="J298" t="str">
        <f>"NIL"</f>
        <v>NIL</v>
      </c>
      <c r="K298" t="str">
        <f>"4500.00"</f>
        <v>4500.00</v>
      </c>
      <c r="L298" t="str">
        <f>"4500.00"</f>
        <v>4500.00</v>
      </c>
      <c r="M298" t="str">
        <f t="shared" ref="M298:M303" si="72">"NIL"</f>
        <v>NIL</v>
      </c>
      <c r="N298" t="str">
        <f>"ALI BIN NORDIN"</f>
        <v>ALI BIN NORDIN</v>
      </c>
      <c r="O298" t="str">
        <f>"MAYBANK"</f>
        <v>MAYBANK</v>
      </c>
      <c r="P298" t="str">
        <f>"MBBEMYKL"</f>
        <v>MBBEMYKL</v>
      </c>
      <c r="Q298" t="str">
        <f>"NIL"</f>
        <v>NIL</v>
      </c>
      <c r="R298" t="str">
        <f>"JASNIOTHMAN@GMAIL.COM"</f>
        <v>JASNIOTHMAN@GMAIL.COM</v>
      </c>
      <c r="S298" t="str">
        <f>"iPAY to ALI BIN NORDIN (MAYBANK: 114011676653)"</f>
        <v>iPAY to ALI BIN NORDIN (MAYBANK: 114011676653)</v>
      </c>
      <c r="T298" t="str">
        <f t="shared" si="65"/>
        <v>2014-01-27</v>
      </c>
      <c r="U298" t="s">
        <v>34</v>
      </c>
      <c r="V298" t="str">
        <f>"System error"</f>
        <v>System error</v>
      </c>
      <c r="W298" t="str">
        <f>"NIL"</f>
        <v>NIL</v>
      </c>
      <c r="X298" t="str">
        <f t="shared" si="71"/>
        <v>219.93.33.173</v>
      </c>
    </row>
    <row r="299" spans="1:24">
      <c r="A299" t="s">
        <v>322</v>
      </c>
      <c r="B299" t="str">
        <f>"27/01/2014 17:08:08"</f>
        <v>27/01/2014 17:08:08</v>
      </c>
      <c r="C299" t="str">
        <f>"9756"</f>
        <v>9756</v>
      </c>
      <c r="D299" t="str">
        <f>"jas630601"</f>
        <v>jas630601</v>
      </c>
      <c r="E299" t="str">
        <f>"JASNI BINTI OTHMAN"</f>
        <v>JASNI BINTI OTHMAN</v>
      </c>
      <c r="F299" t="str">
        <f>"001102023865"</f>
        <v>001102023865</v>
      </c>
      <c r="G299" t="str">
        <f>"114011676653"</f>
        <v>114011676653</v>
      </c>
      <c r="H299" t="str">
        <f t="shared" si="70"/>
        <v>MYR</v>
      </c>
      <c r="I299" t="str">
        <f t="shared" si="70"/>
        <v>MYR</v>
      </c>
      <c r="J299" t="str">
        <f>"2011-03-09"</f>
        <v>2011-03-09</v>
      </c>
      <c r="K299" t="str">
        <f>"4500.00"</f>
        <v>4500.00</v>
      </c>
      <c r="L299" t="str">
        <f>"4500.00"</f>
        <v>4500.00</v>
      </c>
      <c r="M299" t="str">
        <f t="shared" si="72"/>
        <v>NIL</v>
      </c>
      <c r="N299" t="str">
        <f>"ALI BIN NORDIN"</f>
        <v>ALI BIN NORDIN</v>
      </c>
      <c r="O299" t="str">
        <f>"MAYBANK"</f>
        <v>MAYBANK</v>
      </c>
      <c r="P299" t="str">
        <f>"MBBEMYKL"</f>
        <v>MBBEMYKL</v>
      </c>
      <c r="Q299" t="str">
        <f>"NIL"</f>
        <v>NIL</v>
      </c>
      <c r="R299" t="str">
        <f>"JASNIOTHMAN@GMAIL.COM"</f>
        <v>JASNIOTHMAN@GMAIL.COM</v>
      </c>
      <c r="S299" t="str">
        <f>"iPAY to ALI BIN NORDIN (MAYBANK: 114011676653) (Ref No: 270114158811)"</f>
        <v>iPAY to ALI BIN NORDIN (MAYBANK: 114011676653) (Ref No: 270114158811)</v>
      </c>
      <c r="T299" t="str">
        <f t="shared" si="65"/>
        <v>2014-01-27</v>
      </c>
      <c r="U299" t="s">
        <v>32</v>
      </c>
      <c r="V299" t="str">
        <f>"Successful"</f>
        <v>Successful</v>
      </c>
      <c r="W299" t="str">
        <f>"270114158811"</f>
        <v>270114158811</v>
      </c>
      <c r="X299" t="str">
        <f t="shared" si="71"/>
        <v>219.93.33.173</v>
      </c>
    </row>
    <row r="300" spans="1:24">
      <c r="A300" t="s">
        <v>323</v>
      </c>
      <c r="B300" t="str">
        <f>"27/01/2014 17:14:04"</f>
        <v>27/01/2014 17:14:04</v>
      </c>
      <c r="C300" t="str">
        <f>"13747"</f>
        <v>13747</v>
      </c>
      <c r="D300" t="str">
        <f>"fara2502"</f>
        <v>fara2502</v>
      </c>
      <c r="E300" t="str">
        <f>"FARADILLAH BINTI JAHI"</f>
        <v>FARADILLAH BINTI JAHI</v>
      </c>
      <c r="F300" t="str">
        <f>"001103005707"</f>
        <v>001103005707</v>
      </c>
      <c r="G300" t="str">
        <f>"162142017448"</f>
        <v>162142017448</v>
      </c>
      <c r="H300" t="str">
        <f t="shared" si="70"/>
        <v>MYR</v>
      </c>
      <c r="I300" t="str">
        <f t="shared" si="70"/>
        <v>MYR</v>
      </c>
      <c r="J300" t="str">
        <f>"NIL"</f>
        <v>NIL</v>
      </c>
      <c r="K300" t="str">
        <f>"301.00"</f>
        <v>301.00</v>
      </c>
      <c r="L300" t="str">
        <f>"301.00"</f>
        <v>301.00</v>
      </c>
      <c r="M300" t="str">
        <f t="shared" si="72"/>
        <v>NIL</v>
      </c>
      <c r="N300" t="str">
        <f>"FARADILLAH"</f>
        <v>FARADILLAH</v>
      </c>
      <c r="O300" t="str">
        <f>"MAYBANK"</f>
        <v>MAYBANK</v>
      </c>
      <c r="P300" t="str">
        <f>"MBBEMYKL"</f>
        <v>MBBEMYKL</v>
      </c>
      <c r="Q300" t="str">
        <f>"asb loan"</f>
        <v>asb loan</v>
      </c>
      <c r="R300" t="str">
        <f>"fara2502@yahoo.com.my"</f>
        <v>fara2502@yahoo.com.my</v>
      </c>
      <c r="S300" t="str">
        <f>"iPAY to FARADILLAH (MAYBANK: 162142017448)"</f>
        <v>iPAY to FARADILLAH (MAYBANK: 162142017448)</v>
      </c>
      <c r="T300" t="str">
        <f t="shared" si="65"/>
        <v>2014-01-27</v>
      </c>
      <c r="U300" t="s">
        <v>34</v>
      </c>
      <c r="V300" t="str">
        <f>"System error"</f>
        <v>System error</v>
      </c>
      <c r="W300" t="str">
        <f>"NIL"</f>
        <v>NIL</v>
      </c>
      <c r="X300" t="str">
        <f>"175.140.91.251"</f>
        <v>175.140.91.251</v>
      </c>
    </row>
    <row r="301" spans="1:24">
      <c r="A301" t="s">
        <v>324</v>
      </c>
      <c r="B301" t="str">
        <f>"27/01/2014 17:19:10"</f>
        <v>27/01/2014 17:19:10</v>
      </c>
      <c r="C301" t="str">
        <f>"4375"</f>
        <v>4375</v>
      </c>
      <c r="D301" t="str">
        <f>"khairil_izwan"</f>
        <v>khairil_izwan</v>
      </c>
      <c r="E301" t="str">
        <f>"MOHD KHAIRIL IZWAN BIN MOHAMMAD HASHIM"</f>
        <v>MOHD KHAIRIL IZWAN BIN MOHAMMAD HASHIM</v>
      </c>
      <c r="F301" t="str">
        <f>"001103002155"</f>
        <v>001103002155</v>
      </c>
      <c r="G301" t="str">
        <f>"5472310253627104"</f>
        <v>5472310253627104</v>
      </c>
      <c r="H301" t="str">
        <f t="shared" si="70"/>
        <v>MYR</v>
      </c>
      <c r="I301" t="str">
        <f t="shared" si="70"/>
        <v>MYR</v>
      </c>
      <c r="J301" t="str">
        <f>"2009-05-19"</f>
        <v>2009-05-19</v>
      </c>
      <c r="K301" t="str">
        <f>"200.00"</f>
        <v>200.00</v>
      </c>
      <c r="L301" t="str">
        <f>"200.00"</f>
        <v>200.00</v>
      </c>
      <c r="M301" t="str">
        <f t="shared" si="72"/>
        <v>NIL</v>
      </c>
      <c r="N301" t="str">
        <f>"MOHD KHAIRIL IZWAN"</f>
        <v>MOHD KHAIRIL IZWAN</v>
      </c>
      <c r="O301" t="str">
        <f>"PUBLIC BANK"</f>
        <v>PUBLIC BANK</v>
      </c>
      <c r="P301" t="str">
        <f>"PBBEMYKL"</f>
        <v>PBBEMYKL</v>
      </c>
      <c r="Q301" t="str">
        <f t="shared" ref="Q301:R303" si="73">"NIL"</f>
        <v>NIL</v>
      </c>
      <c r="R301" t="str">
        <f t="shared" si="73"/>
        <v>NIL</v>
      </c>
      <c r="S301" t="str">
        <f>"iPAY to MOHD KHAIRIL IZWAN (PUBLIC BANK: 5472310253627104) (Ref No: 270114158816)"</f>
        <v>iPAY to MOHD KHAIRIL IZWAN (PUBLIC BANK: 5472310253627104) (Ref No: 270114158816)</v>
      </c>
      <c r="T301" t="str">
        <f t="shared" si="65"/>
        <v>2014-01-27</v>
      </c>
      <c r="U301" t="s">
        <v>32</v>
      </c>
      <c r="V301" t="str">
        <f>"Successful"</f>
        <v>Successful</v>
      </c>
      <c r="W301" t="str">
        <f>"270114158816"</f>
        <v>270114158816</v>
      </c>
      <c r="X301" t="str">
        <f t="shared" ref="X301:X319" si="74">"219.93.33.173"</f>
        <v>219.93.33.173</v>
      </c>
    </row>
    <row r="302" spans="1:24">
      <c r="A302" t="s">
        <v>325</v>
      </c>
      <c r="B302" t="str">
        <f>"27/01/2014 17:21:24"</f>
        <v>27/01/2014 17:21:24</v>
      </c>
      <c r="C302" t="str">
        <f>"4375"</f>
        <v>4375</v>
      </c>
      <c r="D302" t="str">
        <f>"khairil_izwan"</f>
        <v>khairil_izwan</v>
      </c>
      <c r="E302" t="str">
        <f>"MOHD KHAIRIL IZWAN BIN MOHAMMAD HASHIM"</f>
        <v>MOHD KHAIRIL IZWAN BIN MOHAMMAD HASHIM</v>
      </c>
      <c r="F302" t="str">
        <f>"001103002155"</f>
        <v>001103002155</v>
      </c>
      <c r="G302" t="str">
        <f>"4695550000528410"</f>
        <v>4695550000528410</v>
      </c>
      <c r="H302" t="str">
        <f t="shared" si="70"/>
        <v>MYR</v>
      </c>
      <c r="I302" t="str">
        <f t="shared" si="70"/>
        <v>MYR</v>
      </c>
      <c r="J302" t="str">
        <f>"2009-05-19"</f>
        <v>2009-05-19</v>
      </c>
      <c r="K302" t="str">
        <f>"250.00"</f>
        <v>250.00</v>
      </c>
      <c r="L302" t="str">
        <f>"250.00"</f>
        <v>250.00</v>
      </c>
      <c r="M302" t="str">
        <f t="shared" si="72"/>
        <v>NIL</v>
      </c>
      <c r="N302" t="str">
        <f>"NUR HAFIZA BINTI AHM"</f>
        <v>NUR HAFIZA BINTI AHM</v>
      </c>
      <c r="O302" t="str">
        <f>"BANK ISLAM MALAYSIA BHD"</f>
        <v>BANK ISLAM MALAYSIA BHD</v>
      </c>
      <c r="P302" t="str">
        <f>"BIMBMYKL"</f>
        <v>BIMBMYKL</v>
      </c>
      <c r="Q302" t="str">
        <f t="shared" si="73"/>
        <v>NIL</v>
      </c>
      <c r="R302" t="str">
        <f t="shared" si="73"/>
        <v>NIL</v>
      </c>
      <c r="S302" t="str">
        <f>"iPAY to NUR HAFIZA BINTI AHM (BANK ISLAM MALAYSIA BHD: 4695550000528410) (Ref No: 270114158819)"</f>
        <v>iPAY to NUR HAFIZA BINTI AHM (BANK ISLAM MALAYSIA BHD: 4695550000528410) (Ref No: 270114158819)</v>
      </c>
      <c r="T302" t="str">
        <f t="shared" si="65"/>
        <v>2014-01-27</v>
      </c>
      <c r="U302" t="s">
        <v>32</v>
      </c>
      <c r="V302" t="str">
        <f>"Successful"</f>
        <v>Successful</v>
      </c>
      <c r="W302" t="str">
        <f>"270114158819"</f>
        <v>270114158819</v>
      </c>
      <c r="X302" t="str">
        <f t="shared" si="74"/>
        <v>219.93.33.173</v>
      </c>
    </row>
    <row r="303" spans="1:24">
      <c r="A303" t="s">
        <v>326</v>
      </c>
      <c r="B303" t="str">
        <f>"27/01/2014 17:23:00"</f>
        <v>27/01/2014 17:23:00</v>
      </c>
      <c r="C303" t="str">
        <f>"4375"</f>
        <v>4375</v>
      </c>
      <c r="D303" t="str">
        <f>"khairil_izwan"</f>
        <v>khairil_izwan</v>
      </c>
      <c r="E303" t="str">
        <f>"MOHD KHAIRIL IZWAN BIN MOHAMMAD HASHIM"</f>
        <v>MOHD KHAIRIL IZWAN BIN MOHAMMAD HASHIM</v>
      </c>
      <c r="F303" t="str">
        <f>"001103002155"</f>
        <v>001103002155</v>
      </c>
      <c r="G303" t="str">
        <f>"5472310253531108"</f>
        <v>5472310253531108</v>
      </c>
      <c r="H303" t="str">
        <f t="shared" si="70"/>
        <v>MYR</v>
      </c>
      <c r="I303" t="str">
        <f t="shared" si="70"/>
        <v>MYR</v>
      </c>
      <c r="J303" t="str">
        <f>"NIL"</f>
        <v>NIL</v>
      </c>
      <c r="K303" t="str">
        <f>"250.00"</f>
        <v>250.00</v>
      </c>
      <c r="L303" t="str">
        <f>"250.00"</f>
        <v>250.00</v>
      </c>
      <c r="M303" t="str">
        <f t="shared" si="72"/>
        <v>NIL</v>
      </c>
      <c r="N303" t="str">
        <f>"NUR HAFIZA"</f>
        <v>NUR HAFIZA</v>
      </c>
      <c r="O303" t="str">
        <f>"PUBLIC BANK"</f>
        <v>PUBLIC BANK</v>
      </c>
      <c r="P303" t="str">
        <f>"PBBEMYKL"</f>
        <v>PBBEMYKL</v>
      </c>
      <c r="Q303" t="str">
        <f t="shared" si="73"/>
        <v>NIL</v>
      </c>
      <c r="R303" t="str">
        <f t="shared" si="73"/>
        <v>NIL</v>
      </c>
      <c r="S303" t="str">
        <f>"iPAY to NUR HAFIZA (PUBLIC BANK: 5472310253531108)"</f>
        <v>iPAY to NUR HAFIZA (PUBLIC BANK: 5472310253531108)</v>
      </c>
      <c r="T303" t="str">
        <f t="shared" si="65"/>
        <v>2014-01-27</v>
      </c>
      <c r="U303" t="s">
        <v>34</v>
      </c>
      <c r="V303" t="str">
        <f>"System error"</f>
        <v>System error</v>
      </c>
      <c r="W303" t="str">
        <f>"NIL"</f>
        <v>NIL</v>
      </c>
      <c r="X303" t="str">
        <f t="shared" si="74"/>
        <v>219.93.33.173</v>
      </c>
    </row>
    <row r="304" spans="1:24">
      <c r="A304" t="s">
        <v>327</v>
      </c>
      <c r="B304" t="str">
        <f>"27/01/2014 17:23:12"</f>
        <v>27/01/2014 17:23:12</v>
      </c>
      <c r="C304" t="str">
        <f>"186"</f>
        <v>186</v>
      </c>
      <c r="D304" t="str">
        <f>"asuhaimi_11"</f>
        <v>asuhaimi_11</v>
      </c>
      <c r="E304" t="str">
        <f>"AHMAD SUHAIMI BIN YAHYA"</f>
        <v>AHMAD SUHAIMI BIN YAHYA</v>
      </c>
      <c r="F304" t="str">
        <f>"011020000962"</f>
        <v>011020000962</v>
      </c>
      <c r="G304" t="str">
        <f>"123001080381688"</f>
        <v>123001080381688</v>
      </c>
      <c r="H304" t="str">
        <f t="shared" si="70"/>
        <v>MYR</v>
      </c>
      <c r="I304" t="str">
        <f t="shared" si="70"/>
        <v>MYR</v>
      </c>
      <c r="J304" t="str">
        <f>"NIL"</f>
        <v>NIL</v>
      </c>
      <c r="K304" t="str">
        <f>"500.00"</f>
        <v>500.00</v>
      </c>
      <c r="L304" t="str">
        <f>"500.00"</f>
        <v>500.00</v>
      </c>
      <c r="M304" t="str">
        <f>"afif"</f>
        <v>afif</v>
      </c>
      <c r="N304" t="str">
        <f>"AHMAD SUHAIMI BIN YAHYA"</f>
        <v>AHMAD SUHAIMI BIN YAHYA</v>
      </c>
      <c r="O304" t="str">
        <f>"AL-RAJHI BANK"</f>
        <v>AL-RAJHI BANK</v>
      </c>
      <c r="P304" t="str">
        <f>"RJHIMYKL"</f>
        <v>RJHIMYKL</v>
      </c>
      <c r="Q304" t="str">
        <f>"afif"</f>
        <v>afif</v>
      </c>
      <c r="R304" t="str">
        <f>"asy.my09@gmail.com"</f>
        <v>asy.my09@gmail.com</v>
      </c>
      <c r="S304" t="str">
        <f>"iPAY to AHMAD SUHAIMI BIN YAHYA (AL-RAJHI BANK: 123001080381688)"</f>
        <v>iPAY to AHMAD SUHAIMI BIN YAHYA (AL-RAJHI BANK: 123001080381688)</v>
      </c>
      <c r="T304" t="str">
        <f t="shared" si="65"/>
        <v>2014-01-27</v>
      </c>
      <c r="U304" t="s">
        <v>34</v>
      </c>
      <c r="V304" t="str">
        <f>"You have exceeded the bank maximum daily transfer limit of RM5000.00."</f>
        <v>You have exceeded the bank maximum daily transfer limit of RM5000.00.</v>
      </c>
      <c r="W304" t="str">
        <f>"NIL"</f>
        <v>NIL</v>
      </c>
      <c r="X304" t="str">
        <f t="shared" si="74"/>
        <v>219.93.33.173</v>
      </c>
    </row>
    <row r="305" spans="1:24">
      <c r="A305" t="s">
        <v>328</v>
      </c>
      <c r="B305" t="str">
        <f>"27/01/2014 17:24:21"</f>
        <v>27/01/2014 17:24:21</v>
      </c>
      <c r="C305" t="str">
        <f>"4375"</f>
        <v>4375</v>
      </c>
      <c r="D305" t="str">
        <f>"khairil_izwan"</f>
        <v>khairil_izwan</v>
      </c>
      <c r="E305" t="str">
        <f>"MOHD KHAIRIL IZWAN BIN MOHAMMAD HASHIM"</f>
        <v>MOHD KHAIRIL IZWAN BIN MOHAMMAD HASHIM</v>
      </c>
      <c r="F305" t="str">
        <f>"001103002155"</f>
        <v>001103002155</v>
      </c>
      <c r="G305" t="str">
        <f>"3810421517"</f>
        <v>3810421517</v>
      </c>
      <c r="H305" t="str">
        <f t="shared" si="70"/>
        <v>MYR</v>
      </c>
      <c r="I305" t="str">
        <f t="shared" si="70"/>
        <v>MYR</v>
      </c>
      <c r="J305" t="str">
        <f>"2009-05-19"</f>
        <v>2009-05-19</v>
      </c>
      <c r="K305" t="str">
        <f>"224.00"</f>
        <v>224.00</v>
      </c>
      <c r="L305" t="str">
        <f>"224.00"</f>
        <v>224.00</v>
      </c>
      <c r="M305" t="str">
        <f>"NIL"</f>
        <v>NIL</v>
      </c>
      <c r="N305" t="str">
        <f>"MOHD KHAIRIL IZWAN BIN M"</f>
        <v>MOHD KHAIRIL IZWAN BIN M</v>
      </c>
      <c r="O305" t="str">
        <f>"PUBLIC BANK"</f>
        <v>PUBLIC BANK</v>
      </c>
      <c r="P305" t="str">
        <f>"PBBEMYKL"</f>
        <v>PBBEMYKL</v>
      </c>
      <c r="Q305" t="str">
        <f>"NIL"</f>
        <v>NIL</v>
      </c>
      <c r="R305" t="str">
        <f>"NIL"</f>
        <v>NIL</v>
      </c>
      <c r="S305" t="str">
        <f>"iPAY to MOHD KHAIRIL IZWAN BIN M (PUBLIC BANK: 3810421517) (Ref No: 270114158823)"</f>
        <v>iPAY to MOHD KHAIRIL IZWAN BIN M (PUBLIC BANK: 3810421517) (Ref No: 270114158823)</v>
      </c>
      <c r="T305" t="str">
        <f t="shared" si="65"/>
        <v>2014-01-27</v>
      </c>
      <c r="U305" t="s">
        <v>32</v>
      </c>
      <c r="V305" t="str">
        <f>"Successful"</f>
        <v>Successful</v>
      </c>
      <c r="W305" t="str">
        <f>"270114158823"</f>
        <v>270114158823</v>
      </c>
      <c r="X305" t="str">
        <f t="shared" si="74"/>
        <v>219.93.33.173</v>
      </c>
    </row>
    <row r="306" spans="1:24">
      <c r="A306" t="s">
        <v>329</v>
      </c>
      <c r="B306" t="str">
        <f>"27/01/2014 17:26:27"</f>
        <v>27/01/2014 17:26:27</v>
      </c>
      <c r="C306" t="str">
        <f>"4375"</f>
        <v>4375</v>
      </c>
      <c r="D306" t="str">
        <f>"khairil_izwan"</f>
        <v>khairil_izwan</v>
      </c>
      <c r="E306" t="str">
        <f>"MOHD KHAIRIL IZWAN BIN MOHAMMAD HASHIM"</f>
        <v>MOHD KHAIRIL IZWAN BIN MOHAMMAD HASHIM</v>
      </c>
      <c r="F306" t="str">
        <f>"001103002155"</f>
        <v>001103002155</v>
      </c>
      <c r="G306" t="str">
        <f>"5472310253531108"</f>
        <v>5472310253531108</v>
      </c>
      <c r="H306" t="str">
        <f t="shared" si="70"/>
        <v>MYR</v>
      </c>
      <c r="I306" t="str">
        <f t="shared" si="70"/>
        <v>MYR</v>
      </c>
      <c r="J306" t="str">
        <f>"2009-05-19"</f>
        <v>2009-05-19</v>
      </c>
      <c r="K306" t="str">
        <f>"250.00"</f>
        <v>250.00</v>
      </c>
      <c r="L306" t="str">
        <f>"250.00"</f>
        <v>250.00</v>
      </c>
      <c r="M306" t="str">
        <f>"NIL"</f>
        <v>NIL</v>
      </c>
      <c r="N306" t="str">
        <f>"NUR HAFIZA"</f>
        <v>NUR HAFIZA</v>
      </c>
      <c r="O306" t="str">
        <f>"PUBLIC BANK"</f>
        <v>PUBLIC BANK</v>
      </c>
      <c r="P306" t="str">
        <f>"PBBEMYKL"</f>
        <v>PBBEMYKL</v>
      </c>
      <c r="Q306" t="str">
        <f>"NIL"</f>
        <v>NIL</v>
      </c>
      <c r="R306" t="str">
        <f>"NIL"</f>
        <v>NIL</v>
      </c>
      <c r="S306" t="str">
        <f>"iPAY to NUR HAFIZA (PUBLIC BANK: 5472310253531108) (Ref No: 270114158827)"</f>
        <v>iPAY to NUR HAFIZA (PUBLIC BANK: 5472310253531108) (Ref No: 270114158827)</v>
      </c>
      <c r="T306" t="str">
        <f t="shared" si="65"/>
        <v>2014-01-27</v>
      </c>
      <c r="U306" t="s">
        <v>32</v>
      </c>
      <c r="V306" t="str">
        <f>"Successful"</f>
        <v>Successful</v>
      </c>
      <c r="W306" t="str">
        <f>"270114158827"</f>
        <v>270114158827</v>
      </c>
      <c r="X306" t="str">
        <f t="shared" si="74"/>
        <v>219.93.33.173</v>
      </c>
    </row>
    <row r="307" spans="1:24">
      <c r="A307" t="s">
        <v>330</v>
      </c>
      <c r="B307" t="str">
        <f>"27/01/2014 17:39:42"</f>
        <v>27/01/2014 17:39:42</v>
      </c>
      <c r="C307" t="str">
        <f>"11465"</f>
        <v>11465</v>
      </c>
      <c r="D307" t="str">
        <f>"mamazara"</f>
        <v>mamazara</v>
      </c>
      <c r="E307" t="str">
        <f>"SUHAILA BINTI ROSNAN"</f>
        <v>SUHAILA BINTI ROSNAN</v>
      </c>
      <c r="F307" t="str">
        <f>"001102026120"</f>
        <v>001102026120</v>
      </c>
      <c r="G307" t="str">
        <f>"164472273785"</f>
        <v>164472273785</v>
      </c>
      <c r="H307" t="str">
        <f t="shared" si="70"/>
        <v>MYR</v>
      </c>
      <c r="I307" t="str">
        <f t="shared" si="70"/>
        <v>MYR</v>
      </c>
      <c r="J307" t="str">
        <f>"2011-05-09"</f>
        <v>2011-05-09</v>
      </c>
      <c r="K307" t="str">
        <f>"300.00"</f>
        <v>300.00</v>
      </c>
      <c r="L307" t="str">
        <f>"300.00"</f>
        <v>300.00</v>
      </c>
      <c r="M307" t="str">
        <f>"NIL"</f>
        <v>NIL</v>
      </c>
      <c r="N307" t="str">
        <f>"SUHAILA BINTI ROSNAN"</f>
        <v>SUHAILA BINTI ROSNAN</v>
      </c>
      <c r="O307" t="str">
        <f>"MAYBANK"</f>
        <v>MAYBANK</v>
      </c>
      <c r="P307" t="str">
        <f>"MBBEMYKL"</f>
        <v>MBBEMYKL</v>
      </c>
      <c r="Q307" t="str">
        <f>"NIL"</f>
        <v>NIL</v>
      </c>
      <c r="R307" t="str">
        <f>"suhailarosnan84@gmail.com"</f>
        <v>suhailarosnan84@gmail.com</v>
      </c>
      <c r="S307" t="str">
        <f>"iPAY to SUHAILA BINTI ROSNAN (MAYBANK: 164472273785) (Ref No: 270114158830)"</f>
        <v>iPAY to SUHAILA BINTI ROSNAN (MAYBANK: 164472273785) (Ref No: 270114158830)</v>
      </c>
      <c r="T307" t="str">
        <f t="shared" si="65"/>
        <v>2014-01-27</v>
      </c>
      <c r="U307" t="s">
        <v>32</v>
      </c>
      <c r="V307" t="str">
        <f>"Successful"</f>
        <v>Successful</v>
      </c>
      <c r="W307" t="str">
        <f>"270114158830"</f>
        <v>270114158830</v>
      </c>
      <c r="X307" t="str">
        <f t="shared" si="74"/>
        <v>219.93.33.173</v>
      </c>
    </row>
    <row r="308" spans="1:24">
      <c r="A308" t="s">
        <v>331</v>
      </c>
      <c r="B308" t="str">
        <f>"27/01/2014 17:46:06"</f>
        <v>27/01/2014 17:46:06</v>
      </c>
      <c r="C308" t="str">
        <f>"15310"</f>
        <v>15310</v>
      </c>
      <c r="D308" t="str">
        <f>"yasmeen"</f>
        <v>yasmeen</v>
      </c>
      <c r="E308" t="str">
        <f>"MOHD JOHARI BIN YOUSOP (YUSOF)"</f>
        <v>MOHD JOHARI BIN YOUSOP (YUSOF)</v>
      </c>
      <c r="F308" t="str">
        <f>"010103000310"</f>
        <v>010103000310</v>
      </c>
      <c r="G308" t="str">
        <f>"06050076917521"</f>
        <v>06050076917521</v>
      </c>
      <c r="H308" t="str">
        <f t="shared" si="70"/>
        <v>MYR</v>
      </c>
      <c r="I308" t="str">
        <f t="shared" si="70"/>
        <v>MYR</v>
      </c>
      <c r="J308" t="str">
        <f>"2011-07-21"</f>
        <v>2011-07-21</v>
      </c>
      <c r="K308" t="str">
        <f>"230.00"</f>
        <v>230.00</v>
      </c>
      <c r="L308" t="str">
        <f>"230.00"</f>
        <v>230.00</v>
      </c>
      <c r="M308" t="str">
        <f>"NIL"</f>
        <v>NIL</v>
      </c>
      <c r="N308" t="str">
        <f>"MOHD ZAKI BIN"</f>
        <v>MOHD ZAKI BIN</v>
      </c>
      <c r="O308" t="str">
        <f>"CIMB BANK"</f>
        <v>CIMB BANK</v>
      </c>
      <c r="P308" t="str">
        <f>"CIBBMYKL"</f>
        <v>CIBBMYKL</v>
      </c>
      <c r="Q308" t="str">
        <f>"NIL"</f>
        <v>NIL</v>
      </c>
      <c r="R308" t="str">
        <f>"joefd2r@yahoo.com"</f>
        <v>joefd2r@yahoo.com</v>
      </c>
      <c r="S308" t="str">
        <f>"iPAY to MOHD ZAKI BIN (CIMB BANK: 06050076917521) (Ref No: 270114158832)"</f>
        <v>iPAY to MOHD ZAKI BIN (CIMB BANK: 06050076917521) (Ref No: 270114158832)</v>
      </c>
      <c r="T308" t="str">
        <f t="shared" si="65"/>
        <v>2014-01-27</v>
      </c>
      <c r="U308" t="s">
        <v>32</v>
      </c>
      <c r="V308" t="str">
        <f>"Successful"</f>
        <v>Successful</v>
      </c>
      <c r="W308" t="str">
        <f>"270114158832"</f>
        <v>270114158832</v>
      </c>
      <c r="X308" t="str">
        <f t="shared" si="74"/>
        <v>219.93.33.173</v>
      </c>
    </row>
    <row r="309" spans="1:24">
      <c r="A309" t="s">
        <v>332</v>
      </c>
      <c r="B309" t="str">
        <f>"27/01/2014 17:55:57"</f>
        <v>27/01/2014 17:55:57</v>
      </c>
      <c r="C309" t="str">
        <f>"1328"</f>
        <v>1328</v>
      </c>
      <c r="D309" t="str">
        <f>"surayaothman"</f>
        <v>surayaothman</v>
      </c>
      <c r="E309" t="str">
        <f>"SURAYA BINTI OTHMAN"</f>
        <v>SURAYA BINTI OTHMAN</v>
      </c>
      <c r="F309" t="str">
        <f>"001103001140"</f>
        <v>001103001140</v>
      </c>
      <c r="G309" t="str">
        <f>"16418810003702"</f>
        <v>16418810003702</v>
      </c>
      <c r="H309" t="str">
        <f t="shared" si="70"/>
        <v>MYR</v>
      </c>
      <c r="I309" t="str">
        <f t="shared" si="70"/>
        <v>MYR</v>
      </c>
      <c r="J309" t="str">
        <f>"2008-01-08"</f>
        <v>2008-01-08</v>
      </c>
      <c r="K309" t="str">
        <f>"2300.00"</f>
        <v>2300.00</v>
      </c>
      <c r="L309" t="str">
        <f>"2300.00"</f>
        <v>2300.00</v>
      </c>
      <c r="M309" t="str">
        <f>"Direct Access"</f>
        <v>Direct Access</v>
      </c>
      <c r="N309" t="str">
        <f>"SURAYA OTHMAN"</f>
        <v>SURAYA OTHMAN</v>
      </c>
      <c r="O309" t="str">
        <f>"RHB BANK"</f>
        <v>RHB BANK</v>
      </c>
      <c r="P309" t="str">
        <f>"RHBBMYKL"</f>
        <v>RHBBMYKL</v>
      </c>
      <c r="Q309" t="str">
        <f>"Jan2014"</f>
        <v>Jan2014</v>
      </c>
      <c r="R309" t="str">
        <f>"suraya.othman@kfh.com.my"</f>
        <v>suraya.othman@kfh.com.my</v>
      </c>
      <c r="S309" t="str">
        <f>"iPAY to SURAYA OTHMAN (RHB BANK: 16418810003702) (Ref No: 270114158836)"</f>
        <v>iPAY to SURAYA OTHMAN (RHB BANK: 16418810003702) (Ref No: 270114158836)</v>
      </c>
      <c r="T309" t="str">
        <f t="shared" si="65"/>
        <v>2014-01-27</v>
      </c>
      <c r="U309" t="s">
        <v>32</v>
      </c>
      <c r="V309" t="str">
        <f>"Successful"</f>
        <v>Successful</v>
      </c>
      <c r="W309" t="str">
        <f>"270114158836"</f>
        <v>270114158836</v>
      </c>
      <c r="X309" t="str">
        <f t="shared" si="74"/>
        <v>219.93.33.173</v>
      </c>
    </row>
    <row r="310" spans="1:24">
      <c r="A310" t="s">
        <v>333</v>
      </c>
      <c r="B310" t="str">
        <f>"27/01/2014 17:58:54"</f>
        <v>27/01/2014 17:58:54</v>
      </c>
      <c r="C310" t="str">
        <f>"1536"</f>
        <v>1536</v>
      </c>
      <c r="D310" t="str">
        <f>"rvicky"</f>
        <v>rvicky</v>
      </c>
      <c r="E310" t="str">
        <f>"VIKENESVARAN A/L RATHAKRISNA"</f>
        <v>VIKENESVARAN A/L RATHAKRISNA</v>
      </c>
      <c r="F310" t="str">
        <f>"001102007002"</f>
        <v>001102007002</v>
      </c>
      <c r="G310" t="str">
        <f>"164481135704"</f>
        <v>164481135704</v>
      </c>
      <c r="H310" t="str">
        <f t="shared" ref="H310:I329" si="75">"MYR"</f>
        <v>MYR</v>
      </c>
      <c r="I310" t="str">
        <f t="shared" si="75"/>
        <v>MYR</v>
      </c>
      <c r="J310" t="str">
        <f>"NIL"</f>
        <v>NIL</v>
      </c>
      <c r="K310" t="str">
        <f>"100.00"</f>
        <v>100.00</v>
      </c>
      <c r="L310" t="str">
        <f>"100.00"</f>
        <v>100.00</v>
      </c>
      <c r="M310" t="str">
        <f>"tr"</f>
        <v>tr</v>
      </c>
      <c r="N310" t="str">
        <f>"P KARUPAGA VALLI A"</f>
        <v>P KARUPAGA VALLI A</v>
      </c>
      <c r="O310" t="str">
        <f>"MAYBANK"</f>
        <v>MAYBANK</v>
      </c>
      <c r="P310" t="str">
        <f>"MBBEMYKL"</f>
        <v>MBBEMYKL</v>
      </c>
      <c r="Q310" t="str">
        <f>"NIL"</f>
        <v>NIL</v>
      </c>
      <c r="R310" t="str">
        <f>"vikenes.r@gmail.com"</f>
        <v>vikenes.r@gmail.com</v>
      </c>
      <c r="S310" t="str">
        <f>"iPAY to P KARUPAGA VALLI A (MAYBANK: 164481135704)"</f>
        <v>iPAY to P KARUPAGA VALLI A (MAYBANK: 164481135704)</v>
      </c>
      <c r="T310" t="str">
        <f t="shared" si="65"/>
        <v>2014-01-27</v>
      </c>
      <c r="U310" t="s">
        <v>34</v>
      </c>
      <c r="V310" t="str">
        <f>"System error"</f>
        <v>System error</v>
      </c>
      <c r="W310" t="str">
        <f>"NIL"</f>
        <v>NIL</v>
      </c>
      <c r="X310" t="str">
        <f t="shared" si="74"/>
        <v>219.93.33.173</v>
      </c>
    </row>
    <row r="311" spans="1:24">
      <c r="A311" t="s">
        <v>334</v>
      </c>
      <c r="B311" t="str">
        <f>"27/01/2014 17:59:10"</f>
        <v>27/01/2014 17:59:10</v>
      </c>
      <c r="C311" t="str">
        <f>"53532"</f>
        <v>53532</v>
      </c>
      <c r="D311" t="str">
        <f>"makyen"</f>
        <v>makyen</v>
      </c>
      <c r="E311" t="str">
        <f>"YENNYLIZA BINTI MASO'OD"</f>
        <v>YENNYLIZA BINTI MASO'OD</v>
      </c>
      <c r="F311" t="str">
        <f>"001102038684"</f>
        <v>001102038684</v>
      </c>
      <c r="G311" t="str">
        <f>"4794460200004198"</f>
        <v>4794460200004198</v>
      </c>
      <c r="H311" t="str">
        <f t="shared" si="75"/>
        <v>MYR</v>
      </c>
      <c r="I311" t="str">
        <f t="shared" si="75"/>
        <v>MYR</v>
      </c>
      <c r="J311" t="str">
        <f>"2013-01-09"</f>
        <v>2013-01-09</v>
      </c>
      <c r="K311" t="str">
        <f>"350.00"</f>
        <v>350.00</v>
      </c>
      <c r="L311" t="str">
        <f>"350.00"</f>
        <v>350.00</v>
      </c>
      <c r="M311" t="str">
        <f>"Touch &amp; Go"</f>
        <v>Touch &amp; Go</v>
      </c>
      <c r="N311" t="str">
        <f>"YENNYLIZA"</f>
        <v>YENNYLIZA</v>
      </c>
      <c r="O311" t="str">
        <f>"CIMB BANK"</f>
        <v>CIMB BANK</v>
      </c>
      <c r="P311" t="str">
        <f>"CIBBMYKL"</f>
        <v>CIBBMYKL</v>
      </c>
      <c r="Q311" t="str">
        <f>"Touch &amp; Go"</f>
        <v>Touch &amp; Go</v>
      </c>
      <c r="R311" t="str">
        <f>"yennyliza@gmail.com"</f>
        <v>yennyliza@gmail.com</v>
      </c>
      <c r="S311" t="str">
        <f>"iPAY to YENNYLIZA (CIMB BANK: 4794460200004198) (Ref No: 270114158842)"</f>
        <v>iPAY to YENNYLIZA (CIMB BANK: 4794460200004198) (Ref No: 270114158842)</v>
      </c>
      <c r="T311" t="str">
        <f t="shared" si="65"/>
        <v>2014-01-27</v>
      </c>
      <c r="U311" t="s">
        <v>32</v>
      </c>
      <c r="V311" t="str">
        <f t="shared" ref="V311:V340" si="76">"Successful"</f>
        <v>Successful</v>
      </c>
      <c r="W311" t="str">
        <f>"270114158842"</f>
        <v>270114158842</v>
      </c>
      <c r="X311" t="str">
        <f t="shared" si="74"/>
        <v>219.93.33.173</v>
      </c>
    </row>
    <row r="312" spans="1:24">
      <c r="A312" t="s">
        <v>335</v>
      </c>
      <c r="B312" t="str">
        <f>"27/01/2014 18:02:10"</f>
        <v>27/01/2014 18:02:10</v>
      </c>
      <c r="C312" t="str">
        <f>"1536"</f>
        <v>1536</v>
      </c>
      <c r="D312" t="str">
        <f>"rvicky"</f>
        <v>rvicky</v>
      </c>
      <c r="E312" t="str">
        <f>"VIKENESVARAN A/L RATHAKRISNA"</f>
        <v>VIKENESVARAN A/L RATHAKRISNA</v>
      </c>
      <c r="F312" t="str">
        <f>"001102007002"</f>
        <v>001102007002</v>
      </c>
      <c r="G312" t="str">
        <f>"164481135704"</f>
        <v>164481135704</v>
      </c>
      <c r="H312" t="str">
        <f t="shared" si="75"/>
        <v>MYR</v>
      </c>
      <c r="I312" t="str">
        <f t="shared" si="75"/>
        <v>MYR</v>
      </c>
      <c r="J312" t="str">
        <f>"2008-04-02"</f>
        <v>2008-04-02</v>
      </c>
      <c r="K312" t="str">
        <f>"100.00"</f>
        <v>100.00</v>
      </c>
      <c r="L312" t="str">
        <f>"100.00"</f>
        <v>100.00</v>
      </c>
      <c r="M312" t="str">
        <f>"tr"</f>
        <v>tr</v>
      </c>
      <c r="N312" t="str">
        <f>"P KARUPAGA VALLI A"</f>
        <v>P KARUPAGA VALLI A</v>
      </c>
      <c r="O312" t="str">
        <f>"MAYBANK"</f>
        <v>MAYBANK</v>
      </c>
      <c r="P312" t="str">
        <f>"MBBEMYKL"</f>
        <v>MBBEMYKL</v>
      </c>
      <c r="Q312" t="str">
        <f>"NIL"</f>
        <v>NIL</v>
      </c>
      <c r="R312" t="str">
        <f>"vikenes.r@gmail.com"</f>
        <v>vikenes.r@gmail.com</v>
      </c>
      <c r="S312" t="str">
        <f>"iPAY to P KARUPAGA VALLI A (MAYBANK: 164481135704) (Ref No: 270114158843)"</f>
        <v>iPAY to P KARUPAGA VALLI A (MAYBANK: 164481135704) (Ref No: 270114158843)</v>
      </c>
      <c r="T312" t="str">
        <f t="shared" si="65"/>
        <v>2014-01-27</v>
      </c>
      <c r="U312" t="s">
        <v>32</v>
      </c>
      <c r="V312" t="str">
        <f t="shared" si="76"/>
        <v>Successful</v>
      </c>
      <c r="W312" t="str">
        <f>"270114158843"</f>
        <v>270114158843</v>
      </c>
      <c r="X312" t="str">
        <f t="shared" si="74"/>
        <v>219.93.33.173</v>
      </c>
    </row>
    <row r="313" spans="1:24">
      <c r="A313" t="s">
        <v>336</v>
      </c>
      <c r="B313" t="str">
        <f>"27/01/2014 18:16:04"</f>
        <v>27/01/2014 18:16:04</v>
      </c>
      <c r="C313" t="str">
        <f>"5582"</f>
        <v>5582</v>
      </c>
      <c r="D313" t="str">
        <f>"Carol_Tang"</f>
        <v>Carol_Tang</v>
      </c>
      <c r="E313" t="str">
        <f>"TANG KOUK YID"</f>
        <v>TANG KOUK YID</v>
      </c>
      <c r="F313" t="str">
        <f>"001102015420"</f>
        <v>001102015420</v>
      </c>
      <c r="G313" t="str">
        <f>"4966230330970465"</f>
        <v>4966230330970465</v>
      </c>
      <c r="H313" t="str">
        <f t="shared" si="75"/>
        <v>MYR</v>
      </c>
      <c r="I313" t="str">
        <f t="shared" si="75"/>
        <v>MYR</v>
      </c>
      <c r="J313" t="str">
        <f>"2009-11-17"</f>
        <v>2009-11-17</v>
      </c>
      <c r="K313" t="str">
        <f>"1.00"</f>
        <v>1.00</v>
      </c>
      <c r="L313" t="str">
        <f>"1.00"</f>
        <v>1.00</v>
      </c>
      <c r="M313" t="str">
        <f>"test cc"</f>
        <v>test cc</v>
      </c>
      <c r="N313" t="str">
        <f>"CAROL TANG KOUK"</f>
        <v>CAROL TANG KOUK</v>
      </c>
      <c r="O313" t="str">
        <f>"MAYBANK"</f>
        <v>MAYBANK</v>
      </c>
      <c r="P313" t="str">
        <f>"MBBEMYKL"</f>
        <v>MBBEMYKL</v>
      </c>
      <c r="Q313" t="str">
        <f>"NIL"</f>
        <v>NIL</v>
      </c>
      <c r="R313" t="str">
        <f>"NIL"</f>
        <v>NIL</v>
      </c>
      <c r="S313" t="str">
        <f>"iPAY to CAROL TANG KOUK (MAYBANK: 4966230330970465) (Ref No: 270114158845)"</f>
        <v>iPAY to CAROL TANG KOUK (MAYBANK: 4966230330970465) (Ref No: 270114158845)</v>
      </c>
      <c r="T313" t="str">
        <f t="shared" si="65"/>
        <v>2014-01-27</v>
      </c>
      <c r="U313" t="s">
        <v>32</v>
      </c>
      <c r="V313" t="str">
        <f t="shared" si="76"/>
        <v>Successful</v>
      </c>
      <c r="W313" t="str">
        <f>"270114158845"</f>
        <v>270114158845</v>
      </c>
      <c r="X313" t="str">
        <f t="shared" si="74"/>
        <v>219.93.33.173</v>
      </c>
    </row>
    <row r="314" spans="1:24">
      <c r="A314" t="s">
        <v>337</v>
      </c>
      <c r="B314" t="str">
        <f>"27/01/2014 18:23:32"</f>
        <v>27/01/2014 18:23:32</v>
      </c>
      <c r="C314" t="str">
        <f>"10762"</f>
        <v>10762</v>
      </c>
      <c r="D314" t="str">
        <f>"ony_qistina88"</f>
        <v>ony_qistina88</v>
      </c>
      <c r="E314" t="str">
        <f>"TENGKU ONY QISTINA BINTI TENGKU MOHAMED"</f>
        <v>TENGKU ONY QISTINA BINTI TENGKU MOHAMED</v>
      </c>
      <c r="F314" t="str">
        <f>"001102025256"</f>
        <v>001102025256</v>
      </c>
      <c r="G314" t="str">
        <f>"162179594359"</f>
        <v>162179594359</v>
      </c>
      <c r="H314" t="str">
        <f t="shared" si="75"/>
        <v>MYR</v>
      </c>
      <c r="I314" t="str">
        <f t="shared" si="75"/>
        <v>MYR</v>
      </c>
      <c r="J314" t="str">
        <f>"2011-04-18"</f>
        <v>2011-04-18</v>
      </c>
      <c r="K314" t="str">
        <f>"200.00"</f>
        <v>200.00</v>
      </c>
      <c r="L314" t="str">
        <f>"200.00"</f>
        <v>200.00</v>
      </c>
      <c r="M314" t="str">
        <f>"NIL"</f>
        <v>NIL</v>
      </c>
      <c r="N314" t="str">
        <f>"SITI NADIA BINTI AB."</f>
        <v>SITI NADIA BINTI AB.</v>
      </c>
      <c r="O314" t="str">
        <f>"MAYBANK"</f>
        <v>MAYBANK</v>
      </c>
      <c r="P314" t="str">
        <f>"MBBEMYKL"</f>
        <v>MBBEMYKL</v>
      </c>
      <c r="Q314" t="str">
        <f>"NIL"</f>
        <v>NIL</v>
      </c>
      <c r="R314" t="str">
        <f>"NIL"</f>
        <v>NIL</v>
      </c>
      <c r="S314" t="str">
        <f>"iPAY to SITI NADIA BINTI AB. (MAYBANK: 162179594359) (Ref No: 270114158847)"</f>
        <v>iPAY to SITI NADIA BINTI AB. (MAYBANK: 162179594359) (Ref No: 270114158847)</v>
      </c>
      <c r="T314" t="str">
        <f t="shared" si="65"/>
        <v>2014-01-27</v>
      </c>
      <c r="U314" t="s">
        <v>32</v>
      </c>
      <c r="V314" t="str">
        <f t="shared" si="76"/>
        <v>Successful</v>
      </c>
      <c r="W314" t="str">
        <f>"270114158847"</f>
        <v>270114158847</v>
      </c>
      <c r="X314" t="str">
        <f t="shared" si="74"/>
        <v>219.93.33.173</v>
      </c>
    </row>
    <row r="315" spans="1:24">
      <c r="A315" t="s">
        <v>338</v>
      </c>
      <c r="B315" t="str">
        <f>"27/01/2014 18:27:09"</f>
        <v>27/01/2014 18:27:09</v>
      </c>
      <c r="C315" t="str">
        <f>"1224"</f>
        <v>1224</v>
      </c>
      <c r="D315" t="str">
        <f>"zafil_akmal"</f>
        <v>zafil_akmal</v>
      </c>
      <c r="E315" t="str">
        <f>"ZAFIL AKMAL BINTI ISMAIL"</f>
        <v>ZAFIL AKMAL BINTI ISMAIL</v>
      </c>
      <c r="F315" t="str">
        <f>"001105006625"</f>
        <v>001105006625</v>
      </c>
      <c r="G315" t="str">
        <f>"14020185166520"</f>
        <v>14020185166520</v>
      </c>
      <c r="H315" t="str">
        <f t="shared" si="75"/>
        <v>MYR</v>
      </c>
      <c r="I315" t="str">
        <f t="shared" si="75"/>
        <v>MYR</v>
      </c>
      <c r="J315" t="str">
        <f>"2007-11-29"</f>
        <v>2007-11-29</v>
      </c>
      <c r="K315" t="str">
        <f>"2500.00"</f>
        <v>2500.00</v>
      </c>
      <c r="L315" t="str">
        <f>"2500.00"</f>
        <v>2500.00</v>
      </c>
      <c r="M315" t="str">
        <f>"NIL"</f>
        <v>NIL</v>
      </c>
      <c r="N315" t="str">
        <f>"ZAFIL AKMAL"</f>
        <v>ZAFIL AKMAL</v>
      </c>
      <c r="O315" t="str">
        <f>"CIMB BANK"</f>
        <v>CIMB BANK</v>
      </c>
      <c r="P315" t="str">
        <f>"CIBBMYKL"</f>
        <v>CIBBMYKL</v>
      </c>
      <c r="Q315" t="str">
        <f>"NIL"</f>
        <v>NIL</v>
      </c>
      <c r="R315" t="str">
        <f>"zafil_akmal@yahoo.com"</f>
        <v>zafil_akmal@yahoo.com</v>
      </c>
      <c r="S315" t="str">
        <f>"iPAY to ZAFIL AKMAL (CIMB BANK: 14020185166520) (Ref No: 270114158850)"</f>
        <v>iPAY to ZAFIL AKMAL (CIMB BANK: 14020185166520) (Ref No: 270114158850)</v>
      </c>
      <c r="T315" t="str">
        <f t="shared" si="65"/>
        <v>2014-01-27</v>
      </c>
      <c r="U315" t="s">
        <v>32</v>
      </c>
      <c r="V315" t="str">
        <f t="shared" si="76"/>
        <v>Successful</v>
      </c>
      <c r="W315" t="str">
        <f>"270114158850"</f>
        <v>270114158850</v>
      </c>
      <c r="X315" t="str">
        <f t="shared" si="74"/>
        <v>219.93.33.173</v>
      </c>
    </row>
    <row r="316" spans="1:24">
      <c r="A316" t="s">
        <v>339</v>
      </c>
      <c r="B316" t="str">
        <f>"27/01/2014 18:27:18"</f>
        <v>27/01/2014 18:27:18</v>
      </c>
      <c r="C316" t="str">
        <f>"212"</f>
        <v>212</v>
      </c>
      <c r="D316" t="str">
        <f>"mohdtahir"</f>
        <v>mohdtahir</v>
      </c>
      <c r="E316" t="str">
        <f>"MOHD TAHIR BIN YUSOF"</f>
        <v>MOHD TAHIR BIN YUSOF</v>
      </c>
      <c r="F316" t="str">
        <f>"011050004896"</f>
        <v>011050004896</v>
      </c>
      <c r="G316" t="str">
        <f>"114187616059"</f>
        <v>114187616059</v>
      </c>
      <c r="H316" t="str">
        <f t="shared" si="75"/>
        <v>MYR</v>
      </c>
      <c r="I316" t="str">
        <f t="shared" si="75"/>
        <v>MYR</v>
      </c>
      <c r="J316" t="str">
        <f>"2007-05-10"</f>
        <v>2007-05-10</v>
      </c>
      <c r="K316" t="str">
        <f>"270.00"</f>
        <v>270.00</v>
      </c>
      <c r="L316" t="str">
        <f>"270.00"</f>
        <v>270.00</v>
      </c>
      <c r="M316" t="str">
        <f>"MYB"</f>
        <v>MYB</v>
      </c>
      <c r="N316" t="str">
        <f>"MOHD TAHIR BIN YUSOF"</f>
        <v>MOHD TAHIR BIN YUSOF</v>
      </c>
      <c r="O316" t="str">
        <f>"MAYBANK"</f>
        <v>MAYBANK</v>
      </c>
      <c r="P316" t="str">
        <f>"MBBEMYKL"</f>
        <v>MBBEMYKL</v>
      </c>
      <c r="Q316" t="str">
        <f>"0101"</f>
        <v>0101</v>
      </c>
      <c r="R316" t="str">
        <f>"tahir.yusof@gmail.com"</f>
        <v>tahir.yusof@gmail.com</v>
      </c>
      <c r="S316" t="str">
        <f>"iPAY to MOHD TAHIR BIN YUSOF (MAYBANK: 114187616059) (Ref No: 270114158851)"</f>
        <v>iPAY to MOHD TAHIR BIN YUSOF (MAYBANK: 114187616059) (Ref No: 270114158851)</v>
      </c>
      <c r="T316" t="str">
        <f t="shared" si="65"/>
        <v>2014-01-27</v>
      </c>
      <c r="U316" t="s">
        <v>32</v>
      </c>
      <c r="V316" t="str">
        <f t="shared" si="76"/>
        <v>Successful</v>
      </c>
      <c r="W316" t="str">
        <f>"270114158851"</f>
        <v>270114158851</v>
      </c>
      <c r="X316" t="str">
        <f t="shared" si="74"/>
        <v>219.93.33.173</v>
      </c>
    </row>
    <row r="317" spans="1:24">
      <c r="A317" t="s">
        <v>340</v>
      </c>
      <c r="B317" t="str">
        <f>"27/01/2014 18:29:26"</f>
        <v>27/01/2014 18:29:26</v>
      </c>
      <c r="C317" t="str">
        <f>"36404"</f>
        <v>36404</v>
      </c>
      <c r="D317" t="str">
        <f>"fatimah90"</f>
        <v>fatimah90</v>
      </c>
      <c r="E317" t="str">
        <f>"SITI FATIMAH BINTI ABDULLAH"</f>
        <v>SITI FATIMAH BINTI ABDULLAH</v>
      </c>
      <c r="F317" t="str">
        <f>"001103015370"</f>
        <v>001103015370</v>
      </c>
      <c r="G317" t="str">
        <f>"156114116654"</f>
        <v>156114116654</v>
      </c>
      <c r="H317" t="str">
        <f t="shared" si="75"/>
        <v>MYR</v>
      </c>
      <c r="I317" t="str">
        <f t="shared" si="75"/>
        <v>MYR</v>
      </c>
      <c r="J317" t="str">
        <f>"2012-02-08"</f>
        <v>2012-02-08</v>
      </c>
      <c r="K317" t="str">
        <f>"650.00"</f>
        <v>650.00</v>
      </c>
      <c r="L317" t="str">
        <f>"650.00"</f>
        <v>650.00</v>
      </c>
      <c r="M317" t="str">
        <f>"NIL"</f>
        <v>NIL</v>
      </c>
      <c r="N317" t="str">
        <f>"ROHAYATI BINTI ABDUL"</f>
        <v>ROHAYATI BINTI ABDUL</v>
      </c>
      <c r="O317" t="str">
        <f>"MAYBANK"</f>
        <v>MAYBANK</v>
      </c>
      <c r="P317" t="str">
        <f>"MBBEMYKL"</f>
        <v>MBBEMYKL</v>
      </c>
      <c r="Q317" t="str">
        <f>"NIL"</f>
        <v>NIL</v>
      </c>
      <c r="R317" t="str">
        <f>"NIL"</f>
        <v>NIL</v>
      </c>
      <c r="S317" t="str">
        <f>"iPAY to ROHAYATI BINTI ABDUL (MAYBANK: 156114116654) (Ref No: 270114158853)"</f>
        <v>iPAY to ROHAYATI BINTI ABDUL (MAYBANK: 156114116654) (Ref No: 270114158853)</v>
      </c>
      <c r="T317" t="str">
        <f t="shared" si="65"/>
        <v>2014-01-27</v>
      </c>
      <c r="U317" t="s">
        <v>32</v>
      </c>
      <c r="V317" t="str">
        <f t="shared" si="76"/>
        <v>Successful</v>
      </c>
      <c r="W317" t="str">
        <f>"270114158853"</f>
        <v>270114158853</v>
      </c>
      <c r="X317" t="str">
        <f t="shared" si="74"/>
        <v>219.93.33.173</v>
      </c>
    </row>
    <row r="318" spans="1:24">
      <c r="A318" t="s">
        <v>341</v>
      </c>
      <c r="B318" t="str">
        <f>"27/01/2014 18:31:47"</f>
        <v>27/01/2014 18:31:47</v>
      </c>
      <c r="C318" t="str">
        <f>"11065"</f>
        <v>11065</v>
      </c>
      <c r="D318" t="str">
        <f>"idahusin"</f>
        <v>idahusin</v>
      </c>
      <c r="E318" t="str">
        <f>"IDA AIZUN BINTI HUSIN"</f>
        <v>IDA AIZUN BINTI HUSIN</v>
      </c>
      <c r="F318" t="str">
        <f>"001102025671"</f>
        <v>001102025671</v>
      </c>
      <c r="G318" t="str">
        <f>"4384213000529369"</f>
        <v>4384213000529369</v>
      </c>
      <c r="H318" t="str">
        <f t="shared" si="75"/>
        <v>MYR</v>
      </c>
      <c r="I318" t="str">
        <f t="shared" si="75"/>
        <v>MYR</v>
      </c>
      <c r="J318" t="str">
        <f>"2011-04-27"</f>
        <v>2011-04-27</v>
      </c>
      <c r="K318" t="str">
        <f>"5000.00"</f>
        <v>5000.00</v>
      </c>
      <c r="L318" t="str">
        <f>"5000.00"</f>
        <v>5000.00</v>
      </c>
      <c r="M318" t="str">
        <f>"cr crd 27Jan"</f>
        <v>cr crd 27Jan</v>
      </c>
      <c r="N318" t="str">
        <f>"IDA AIZUNI HUSIN"</f>
        <v>IDA AIZUNI HUSIN</v>
      </c>
      <c r="O318" t="str">
        <f>"CITIBANK"</f>
        <v>CITIBANK</v>
      </c>
      <c r="P318" t="str">
        <f>"CITIMYKL"</f>
        <v>CITIMYKL</v>
      </c>
      <c r="Q318" t="str">
        <f>"NIL"</f>
        <v>NIL</v>
      </c>
      <c r="R318" t="str">
        <f>"ida_aizun67@yahoo.com"</f>
        <v>ida_aizun67@yahoo.com</v>
      </c>
      <c r="S318" t="str">
        <f>"iPAY to IDA AIZUNI HUSIN (CITIBANK: 4384213000529369) (Ref No: 270114158856)"</f>
        <v>iPAY to IDA AIZUNI HUSIN (CITIBANK: 4384213000529369) (Ref No: 270114158856)</v>
      </c>
      <c r="T318" t="str">
        <f t="shared" si="65"/>
        <v>2014-01-27</v>
      </c>
      <c r="U318" t="s">
        <v>32</v>
      </c>
      <c r="V318" t="str">
        <f t="shared" si="76"/>
        <v>Successful</v>
      </c>
      <c r="W318" t="str">
        <f>"270114158856"</f>
        <v>270114158856</v>
      </c>
      <c r="X318" t="str">
        <f t="shared" si="74"/>
        <v>219.93.33.173</v>
      </c>
    </row>
    <row r="319" spans="1:24">
      <c r="A319" t="s">
        <v>342</v>
      </c>
      <c r="B319" t="str">
        <f>"27/01/2014 18:45:36"</f>
        <v>27/01/2014 18:45:36</v>
      </c>
      <c r="C319" t="str">
        <f>"441"</f>
        <v>441</v>
      </c>
      <c r="D319" t="str">
        <f>"hamidah"</f>
        <v>hamidah</v>
      </c>
      <c r="E319" t="str">
        <f>"HAMIDAH BINTI AB HAMID"</f>
        <v>HAMIDAH BINTI AB HAMID</v>
      </c>
      <c r="F319" t="str">
        <f>"011020002620"</f>
        <v>011020002620</v>
      </c>
      <c r="G319" t="str">
        <f>"12220000722108"</f>
        <v>12220000722108</v>
      </c>
      <c r="H319" t="str">
        <f t="shared" si="75"/>
        <v>MYR</v>
      </c>
      <c r="I319" t="str">
        <f t="shared" si="75"/>
        <v>MYR</v>
      </c>
      <c r="J319" t="str">
        <f>"2006-05-16"</f>
        <v>2006-05-16</v>
      </c>
      <c r="K319" t="str">
        <f>"1990.00"</f>
        <v>1990.00</v>
      </c>
      <c r="L319" t="str">
        <f>"1990.00"</f>
        <v>1990.00</v>
      </c>
      <c r="M319" t="str">
        <f>"khemah"</f>
        <v>khemah</v>
      </c>
      <c r="N319" t="str">
        <f>"SEGI SERI SDN"</f>
        <v>SEGI SERI SDN</v>
      </c>
      <c r="O319" t="str">
        <f>"CIMB BANK"</f>
        <v>CIMB BANK</v>
      </c>
      <c r="P319" t="str">
        <f>"CIBBMYKL"</f>
        <v>CIBBMYKL</v>
      </c>
      <c r="Q319" t="str">
        <f>"NIL"</f>
        <v>NIL</v>
      </c>
      <c r="R319" t="str">
        <f>"NIL"</f>
        <v>NIL</v>
      </c>
      <c r="S319" t="str">
        <f>"iPAY to SEGI SERI SDN (CIMB BANK: 12220000722108) (Ref No: 270114158859)"</f>
        <v>iPAY to SEGI SERI SDN (CIMB BANK: 12220000722108) (Ref No: 270114158859)</v>
      </c>
      <c r="T319" t="str">
        <f t="shared" si="65"/>
        <v>2014-01-27</v>
      </c>
      <c r="U319" t="s">
        <v>32</v>
      </c>
      <c r="V319" t="str">
        <f t="shared" si="76"/>
        <v>Successful</v>
      </c>
      <c r="W319" t="str">
        <f>"270114158859"</f>
        <v>270114158859</v>
      </c>
      <c r="X319" t="str">
        <f t="shared" si="74"/>
        <v>219.93.33.173</v>
      </c>
    </row>
    <row r="320" spans="1:24">
      <c r="A320" t="s">
        <v>343</v>
      </c>
      <c r="B320" t="str">
        <f>"27/01/2014 19:03:26"</f>
        <v>27/01/2014 19:03:26</v>
      </c>
      <c r="C320" t="str">
        <f>"1330"</f>
        <v>1330</v>
      </c>
      <c r="D320" t="str">
        <f>"chehaslina"</f>
        <v>chehaslina</v>
      </c>
      <c r="E320" t="str">
        <f>"CHE HASLINA BINTI MD RAHIM"</f>
        <v>CHE HASLINA BINTI MD RAHIM</v>
      </c>
      <c r="F320" t="str">
        <f>"001103001167"</f>
        <v>001103001167</v>
      </c>
      <c r="G320" t="str">
        <f>"164762067079"</f>
        <v>164762067079</v>
      </c>
      <c r="H320" t="str">
        <f t="shared" si="75"/>
        <v>MYR</v>
      </c>
      <c r="I320" t="str">
        <f t="shared" si="75"/>
        <v>MYR</v>
      </c>
      <c r="J320" t="str">
        <f>"2008-01-08"</f>
        <v>2008-01-08</v>
      </c>
      <c r="K320" t="str">
        <f>"60.00"</f>
        <v>60.00</v>
      </c>
      <c r="L320" t="str">
        <f>"60.00"</f>
        <v>60.00</v>
      </c>
      <c r="M320" t="str">
        <f>"NIL"</f>
        <v>NIL</v>
      </c>
      <c r="N320" t="str">
        <f>"CHE HASLIZA BTE MD R"</f>
        <v>CHE HASLIZA BTE MD R</v>
      </c>
      <c r="O320" t="str">
        <f>"MAYBANK"</f>
        <v>MAYBANK</v>
      </c>
      <c r="P320" t="str">
        <f>"MBBEMYKL"</f>
        <v>MBBEMYKL</v>
      </c>
      <c r="Q320" t="str">
        <f>"che hasliza"</f>
        <v>che hasliza</v>
      </c>
      <c r="R320" t="str">
        <f>"NIL"</f>
        <v>NIL</v>
      </c>
      <c r="S320" t="str">
        <f>"iPAY to CHE HASLIZA BTE MD R (MAYBANK: 164762067079) (Ref No: 270114158862)"</f>
        <v>iPAY to CHE HASLIZA BTE MD R (MAYBANK: 164762067079) (Ref No: 270114158862)</v>
      </c>
      <c r="T320" t="str">
        <f t="shared" si="65"/>
        <v>2014-01-27</v>
      </c>
      <c r="U320" t="s">
        <v>32</v>
      </c>
      <c r="V320" t="str">
        <f t="shared" si="76"/>
        <v>Successful</v>
      </c>
      <c r="W320" t="str">
        <f>"270114158862"</f>
        <v>270114158862</v>
      </c>
      <c r="X320" t="str">
        <f>"115.164.216.133"</f>
        <v>115.164.216.133</v>
      </c>
    </row>
    <row r="321" spans="1:24">
      <c r="A321" t="s">
        <v>344</v>
      </c>
      <c r="B321" t="str">
        <f>"27/01/2014 19:03:40"</f>
        <v>27/01/2014 19:03:40</v>
      </c>
      <c r="C321" t="str">
        <f>"12465"</f>
        <v>12465</v>
      </c>
      <c r="D321" t="str">
        <f>"nornadia"</f>
        <v>nornadia</v>
      </c>
      <c r="E321" t="str">
        <f>"NOR NADIA BINTI NAJMUDDIN"</f>
        <v>NOR NADIA BINTI NAJMUDDIN</v>
      </c>
      <c r="F321" t="str">
        <f>"001103004298"</f>
        <v>001103004298</v>
      </c>
      <c r="G321" t="str">
        <f>"162106686096"</f>
        <v>162106686096</v>
      </c>
      <c r="H321" t="str">
        <f t="shared" si="75"/>
        <v>MYR</v>
      </c>
      <c r="I321" t="str">
        <f t="shared" si="75"/>
        <v>MYR</v>
      </c>
      <c r="J321" t="str">
        <f>"2011-06-06"</f>
        <v>2011-06-06</v>
      </c>
      <c r="K321" t="str">
        <f>"150.00"</f>
        <v>150.00</v>
      </c>
      <c r="L321" t="str">
        <f>"150.00"</f>
        <v>150.00</v>
      </c>
      <c r="M321" t="str">
        <f>"flawless voucher"</f>
        <v>flawless voucher</v>
      </c>
      <c r="N321" t="str">
        <f>"NOR FARANIZA BINTI R"</f>
        <v>NOR FARANIZA BINTI R</v>
      </c>
      <c r="O321" t="str">
        <f>"MAYBANK"</f>
        <v>MAYBANK</v>
      </c>
      <c r="P321" t="str">
        <f>"MBBEMYKL"</f>
        <v>MBBEMYKL</v>
      </c>
      <c r="Q321" t="str">
        <f>"NIL"</f>
        <v>NIL</v>
      </c>
      <c r="R321" t="str">
        <f>"nornadianajmuddin@gmail.com"</f>
        <v>nornadianajmuddin@gmail.com</v>
      </c>
      <c r="S321" t="str">
        <f>"iPAY to NOR FARANIZA BINTI R (MAYBANK: 162106686096) (Ref No: 270114158863)"</f>
        <v>iPAY to NOR FARANIZA BINTI R (MAYBANK: 162106686096) (Ref No: 270114158863)</v>
      </c>
      <c r="T321" t="str">
        <f t="shared" si="65"/>
        <v>2014-01-27</v>
      </c>
      <c r="U321" t="s">
        <v>32</v>
      </c>
      <c r="V321" t="str">
        <f t="shared" si="76"/>
        <v>Successful</v>
      </c>
      <c r="W321" t="str">
        <f>"270114158863"</f>
        <v>270114158863</v>
      </c>
      <c r="X321" t="str">
        <f>"113.210.0.10"</f>
        <v>113.210.0.10</v>
      </c>
    </row>
    <row r="322" spans="1:24">
      <c r="A322" t="s">
        <v>345</v>
      </c>
      <c r="B322" t="str">
        <f>"27/01/2014 19:06:20"</f>
        <v>27/01/2014 19:06:20</v>
      </c>
      <c r="C322" t="str">
        <f>"163"</f>
        <v>163</v>
      </c>
      <c r="D322" t="str">
        <f>"wnazhar"</f>
        <v>wnazhar</v>
      </c>
      <c r="E322" t="str">
        <f>"NOR AZHAR BIN WAHAB"</f>
        <v>NOR AZHAR BIN WAHAB</v>
      </c>
      <c r="F322" t="str">
        <f>"011020001845"</f>
        <v>011020001845</v>
      </c>
      <c r="G322" t="str">
        <f>"0110023033837"</f>
        <v>0110023033837</v>
      </c>
      <c r="H322" t="str">
        <f t="shared" si="75"/>
        <v>MYR</v>
      </c>
      <c r="I322" t="str">
        <f t="shared" si="75"/>
        <v>MYR</v>
      </c>
      <c r="J322" t="str">
        <f>"2005-09-13"</f>
        <v>2005-09-13</v>
      </c>
      <c r="K322" t="str">
        <f>"1730.00"</f>
        <v>1730.00</v>
      </c>
      <c r="L322" t="str">
        <f>"1730.00"</f>
        <v>1730.00</v>
      </c>
      <c r="M322" t="str">
        <f>"byr saman"</f>
        <v>byr saman</v>
      </c>
      <c r="N322" t="str">
        <f>"ENCIK MOHD ZAFRIL BIN RAHM"</f>
        <v>ENCIK MOHD ZAFRIL BIN RAHM</v>
      </c>
      <c r="O322" t="str">
        <f>"AMBANK"</f>
        <v>AMBANK</v>
      </c>
      <c r="P322" t="str">
        <f>"ARBKMYKL"</f>
        <v>ARBKMYKL</v>
      </c>
      <c r="Q322" t="str">
        <f>"111"</f>
        <v>111</v>
      </c>
      <c r="R322" t="str">
        <f>"wnazhar@yahoo.com"</f>
        <v>wnazhar@yahoo.com</v>
      </c>
      <c r="S322" t="str">
        <f>"iPAY to ENCIK MOHD ZAFRIL BIN RAHM (AMBANK: 0110023033837) (Ref No: 270114158868)"</f>
        <v>iPAY to ENCIK MOHD ZAFRIL BIN RAHM (AMBANK: 0110023033837) (Ref No: 270114158868)</v>
      </c>
      <c r="T322" t="str">
        <f t="shared" si="65"/>
        <v>2014-01-27</v>
      </c>
      <c r="U322" t="s">
        <v>32</v>
      </c>
      <c r="V322" t="str">
        <f t="shared" si="76"/>
        <v>Successful</v>
      </c>
      <c r="W322" t="str">
        <f>"270114158868"</f>
        <v>270114158868</v>
      </c>
      <c r="X322" t="str">
        <f>"175.143.175.192"</f>
        <v>175.143.175.192</v>
      </c>
    </row>
    <row r="323" spans="1:24">
      <c r="A323" t="s">
        <v>346</v>
      </c>
      <c r="B323" t="str">
        <f>"27/01/2014 19:21:41"</f>
        <v>27/01/2014 19:21:41</v>
      </c>
      <c r="C323" t="str">
        <f>"5705"</f>
        <v>5705</v>
      </c>
      <c r="D323" t="str">
        <f>"razanah"</f>
        <v>razanah</v>
      </c>
      <c r="E323" t="str">
        <f>"NUR RAZANAH BINTI HAMZAH"</f>
        <v>NUR RAZANAH BINTI HAMZAH</v>
      </c>
      <c r="F323" t="str">
        <f>"001103002481"</f>
        <v>001103002481</v>
      </c>
      <c r="G323" t="str">
        <f>"05100044617520"</f>
        <v>05100044617520</v>
      </c>
      <c r="H323" t="str">
        <f t="shared" si="75"/>
        <v>MYR</v>
      </c>
      <c r="I323" t="str">
        <f t="shared" si="75"/>
        <v>MYR</v>
      </c>
      <c r="J323" t="str">
        <f>"2009-12-09"</f>
        <v>2009-12-09</v>
      </c>
      <c r="K323" t="str">
        <f>"100.00"</f>
        <v>100.00</v>
      </c>
      <c r="L323" t="str">
        <f>"100.00"</f>
        <v>100.00</v>
      </c>
      <c r="M323" t="str">
        <f>"NIL"</f>
        <v>NIL</v>
      </c>
      <c r="N323" t="str">
        <f>"MOHA FAIZAL"</f>
        <v>MOHA FAIZAL</v>
      </c>
      <c r="O323" t="str">
        <f>"CIMB BANK"</f>
        <v>CIMB BANK</v>
      </c>
      <c r="P323" t="str">
        <f>"CIBBMYKL"</f>
        <v>CIBBMYKL</v>
      </c>
      <c r="Q323" t="str">
        <f>"NIL"</f>
        <v>NIL</v>
      </c>
      <c r="R323" t="str">
        <f>"NIL"</f>
        <v>NIL</v>
      </c>
      <c r="S323" t="str">
        <f>"iPAY to MOHA FAIZAL (CIMB BANK: 05100044617520) (Ref No: 270114158887)"</f>
        <v>iPAY to MOHA FAIZAL (CIMB BANK: 05100044617520) (Ref No: 270114158887)</v>
      </c>
      <c r="T323" t="str">
        <f t="shared" si="65"/>
        <v>2014-01-27</v>
      </c>
      <c r="U323" t="s">
        <v>32</v>
      </c>
      <c r="V323" t="str">
        <f t="shared" si="76"/>
        <v>Successful</v>
      </c>
      <c r="W323" t="str">
        <f>"270114158887"</f>
        <v>270114158887</v>
      </c>
      <c r="X323" t="str">
        <f>"183.171.173.174"</f>
        <v>183.171.173.174</v>
      </c>
    </row>
    <row r="324" spans="1:24">
      <c r="A324" t="s">
        <v>347</v>
      </c>
      <c r="B324" t="str">
        <f>"27/01/2014 19:22:03"</f>
        <v>27/01/2014 19:22:03</v>
      </c>
      <c r="C324" t="str">
        <f>"193"</f>
        <v>193</v>
      </c>
      <c r="D324" t="str">
        <f>"esyafini"</f>
        <v>esyafini</v>
      </c>
      <c r="E324" t="str">
        <f>"SYAFINI BINTI SAID"</f>
        <v>SYAFINI BINTI SAID</v>
      </c>
      <c r="F324" t="str">
        <f>"011020001039"</f>
        <v>011020001039</v>
      </c>
      <c r="G324" t="str">
        <f>"12122010011669"</f>
        <v>12122010011669</v>
      </c>
      <c r="H324" t="str">
        <f t="shared" si="75"/>
        <v>MYR</v>
      </c>
      <c r="I324" t="str">
        <f t="shared" si="75"/>
        <v>MYR</v>
      </c>
      <c r="J324" t="str">
        <f>"2005-08-05"</f>
        <v>2005-08-05</v>
      </c>
      <c r="K324" t="str">
        <f>"259.12"</f>
        <v>259.12</v>
      </c>
      <c r="L324" t="str">
        <f>"259.12"</f>
        <v>259.12</v>
      </c>
      <c r="M324" t="str">
        <f>"NIL"</f>
        <v>NIL</v>
      </c>
      <c r="N324" t="str">
        <f>"TETUAN JMB APARTMENT PANDA"</f>
        <v>TETUAN JMB APARTMENT PANDA</v>
      </c>
      <c r="O324" t="str">
        <f>"BANK ISLAM MALAYSIA BHD"</f>
        <v>BANK ISLAM MALAYSIA BHD</v>
      </c>
      <c r="P324" t="str">
        <f>"BIMBMYKL"</f>
        <v>BIMBMYKL</v>
      </c>
      <c r="Q324" t="str">
        <f>"NIL"</f>
        <v>NIL</v>
      </c>
      <c r="R324" t="str">
        <f>"NIL"</f>
        <v>NIL</v>
      </c>
      <c r="S324" t="str">
        <f>"iPAY to TETUAN JMB APARTMENT PANDA (BANK ISLAM MALAYSIA BHD: 12122010011669) (Ref No: 270114158888)"</f>
        <v>iPAY to TETUAN JMB APARTMENT PANDA (BANK ISLAM MALAYSIA BHD: 12122010011669) (Ref No: 270114158888)</v>
      </c>
      <c r="T324" t="str">
        <f t="shared" si="65"/>
        <v>2014-01-27</v>
      </c>
      <c r="U324" t="s">
        <v>32</v>
      </c>
      <c r="V324" t="str">
        <f t="shared" si="76"/>
        <v>Successful</v>
      </c>
      <c r="W324" t="str">
        <f>"270114158888"</f>
        <v>270114158888</v>
      </c>
      <c r="X324" t="str">
        <f>"219.93.33.173"</f>
        <v>219.93.33.173</v>
      </c>
    </row>
    <row r="325" spans="1:24">
      <c r="A325" t="s">
        <v>348</v>
      </c>
      <c r="B325" t="str">
        <f>"27/01/2014 19:51:16"</f>
        <v>27/01/2014 19:51:16</v>
      </c>
      <c r="C325" t="str">
        <f>"35103"</f>
        <v>35103</v>
      </c>
      <c r="D325" t="str">
        <f>"mushthaq"</f>
        <v>mushthaq</v>
      </c>
      <c r="E325" t="str">
        <f>"MUSHTHAQ AHMAD BIN A.M. IBRAHIM"</f>
        <v>MUSHTHAQ AHMAD BIN A.M. IBRAHIM</v>
      </c>
      <c r="F325" t="str">
        <f>"001102031795"</f>
        <v>001102031795</v>
      </c>
      <c r="G325" t="str">
        <f>"14260006639007"</f>
        <v>14260006639007</v>
      </c>
      <c r="H325" t="str">
        <f t="shared" si="75"/>
        <v>MYR</v>
      </c>
      <c r="I325" t="str">
        <f t="shared" si="75"/>
        <v>MYR</v>
      </c>
      <c r="J325" t="str">
        <f>"2012-01-10"</f>
        <v>2012-01-10</v>
      </c>
      <c r="K325" t="str">
        <f>"5000.00"</f>
        <v>5000.00</v>
      </c>
      <c r="L325" t="str">
        <f>"5000.00"</f>
        <v>5000.00</v>
      </c>
      <c r="M325" t="str">
        <f>"Lawyer-Ferro"</f>
        <v>Lawyer-Ferro</v>
      </c>
      <c r="N325" t="str">
        <f>"JARGIT SINGH"</f>
        <v>JARGIT SINGH</v>
      </c>
      <c r="O325" t="str">
        <f>"CIMB BANK"</f>
        <v>CIMB BANK</v>
      </c>
      <c r="P325" t="str">
        <f>"CIBBMYKL"</f>
        <v>CIBBMYKL</v>
      </c>
      <c r="Q325" t="str">
        <f>"02"</f>
        <v>02</v>
      </c>
      <c r="R325" t="str">
        <f>"mushthaq63@gmail.com"</f>
        <v>mushthaq63@gmail.com</v>
      </c>
      <c r="S325" t="str">
        <f>"iPAY to JARGIT SINGH (CIMB BANK: 14260006639007) (Ref No: 270114158891)"</f>
        <v>iPAY to JARGIT SINGH (CIMB BANK: 14260006639007) (Ref No: 270114158891)</v>
      </c>
      <c r="T325" t="str">
        <f t="shared" si="65"/>
        <v>2014-01-27</v>
      </c>
      <c r="U325" t="s">
        <v>32</v>
      </c>
      <c r="V325" t="str">
        <f t="shared" si="76"/>
        <v>Successful</v>
      </c>
      <c r="W325" t="str">
        <f>"270114158891"</f>
        <v>270114158891</v>
      </c>
      <c r="X325" t="str">
        <f>"115.133.181.170"</f>
        <v>115.133.181.170</v>
      </c>
    </row>
    <row r="326" spans="1:24">
      <c r="A326" t="s">
        <v>349</v>
      </c>
      <c r="B326" t="str">
        <f>"27/01/2014 19:59:06"</f>
        <v>27/01/2014 19:59:06</v>
      </c>
      <c r="C326" t="str">
        <f>"20332"</f>
        <v>20332</v>
      </c>
      <c r="D326" t="str">
        <f>"monamohdnoor"</f>
        <v>monamohdnoor</v>
      </c>
      <c r="E326" t="str">
        <f>"MONA BINTI MOHD NOOR"</f>
        <v>MONA BINTI MOHD NOOR</v>
      </c>
      <c r="F326" t="str">
        <f>"001103010689"</f>
        <v>001103010689</v>
      </c>
      <c r="G326" t="str">
        <f>"514011357415"</f>
        <v>514011357415</v>
      </c>
      <c r="H326" t="str">
        <f t="shared" si="75"/>
        <v>MYR</v>
      </c>
      <c r="I326" t="str">
        <f t="shared" si="75"/>
        <v>MYR</v>
      </c>
      <c r="J326" t="str">
        <f>"2011-09-12"</f>
        <v>2011-09-12</v>
      </c>
      <c r="K326" t="str">
        <f>"2500.00"</f>
        <v>2500.00</v>
      </c>
      <c r="L326" t="str">
        <f>"2500.00"</f>
        <v>2500.00</v>
      </c>
      <c r="M326" t="str">
        <f>"ASB Loan n utilities"</f>
        <v>ASB Loan n utilities</v>
      </c>
      <c r="N326" t="str">
        <f>"MONA BINTI MOHD NOOR"</f>
        <v>MONA BINTI MOHD NOOR</v>
      </c>
      <c r="O326" t="str">
        <f>"MAYBANK"</f>
        <v>MAYBANK</v>
      </c>
      <c r="P326" t="str">
        <f>"MBBEMYKL"</f>
        <v>MBBEMYKL</v>
      </c>
      <c r="Q326" t="str">
        <f>"NIL"</f>
        <v>NIL</v>
      </c>
      <c r="R326" t="str">
        <f>"mona.mohdnoor@gmail.com"</f>
        <v>mona.mohdnoor@gmail.com</v>
      </c>
      <c r="S326" t="str">
        <f>"iPAY to MONA BINTI MOHD NOOR (MAYBANK: 514011357415) (Ref No: 270114158896)"</f>
        <v>iPAY to MONA BINTI MOHD NOOR (MAYBANK: 514011357415) (Ref No: 270114158896)</v>
      </c>
      <c r="T326" t="str">
        <f t="shared" si="65"/>
        <v>2014-01-27</v>
      </c>
      <c r="U326" t="s">
        <v>32</v>
      </c>
      <c r="V326" t="str">
        <f t="shared" si="76"/>
        <v>Successful</v>
      </c>
      <c r="W326" t="str">
        <f>"270114158896"</f>
        <v>270114158896</v>
      </c>
      <c r="X326" t="str">
        <f>"219.93.33.173"</f>
        <v>219.93.33.173</v>
      </c>
    </row>
    <row r="327" spans="1:24">
      <c r="A327" t="s">
        <v>350</v>
      </c>
      <c r="B327" t="str">
        <f>"27/01/2014 20:35:27"</f>
        <v>27/01/2014 20:35:27</v>
      </c>
      <c r="C327" t="str">
        <f>"57891"</f>
        <v>57891</v>
      </c>
      <c r="D327" t="str">
        <f>"David890727"</f>
        <v>David890727</v>
      </c>
      <c r="E327" t="str">
        <f>"CHIA YI SENG"</f>
        <v>CHIA YI SENG</v>
      </c>
      <c r="F327" t="str">
        <f>"009103007828"</f>
        <v>009103007828</v>
      </c>
      <c r="G327" t="str">
        <f>"153065285077"</f>
        <v>153065285077</v>
      </c>
      <c r="H327" t="str">
        <f t="shared" si="75"/>
        <v>MYR</v>
      </c>
      <c r="I327" t="str">
        <f t="shared" si="75"/>
        <v>MYR</v>
      </c>
      <c r="J327" t="str">
        <f>"2013-03-06"</f>
        <v>2013-03-06</v>
      </c>
      <c r="K327" t="str">
        <f>"7.00"</f>
        <v>7.00</v>
      </c>
      <c r="L327" t="str">
        <f>"7.00"</f>
        <v>7.00</v>
      </c>
      <c r="M327" t="str">
        <f>"Online purchasing"</f>
        <v>Online purchasing</v>
      </c>
      <c r="N327" t="str">
        <f>"RASHIDAH BINTI CHE M"</f>
        <v>RASHIDAH BINTI CHE M</v>
      </c>
      <c r="O327" t="str">
        <f>"MAYBANK"</f>
        <v>MAYBANK</v>
      </c>
      <c r="P327" t="str">
        <f>"MBBEMYKL"</f>
        <v>MBBEMYKL</v>
      </c>
      <c r="Q327" t="str">
        <f>"NIL"</f>
        <v>NIL</v>
      </c>
      <c r="R327" t="str">
        <f>"NIL"</f>
        <v>NIL</v>
      </c>
      <c r="S327" t="str">
        <f>"iPAY to RASHIDAH BINTI CHE M (MAYBANK: 153065285077) (Ref No: 270114158898)"</f>
        <v>iPAY to RASHIDAH BINTI CHE M (MAYBANK: 153065285077) (Ref No: 270114158898)</v>
      </c>
      <c r="T327" t="str">
        <f t="shared" si="65"/>
        <v>2014-01-27</v>
      </c>
      <c r="U327" t="s">
        <v>32</v>
      </c>
      <c r="V327" t="str">
        <f t="shared" si="76"/>
        <v>Successful</v>
      </c>
      <c r="W327" t="str">
        <f>"270114158898"</f>
        <v>270114158898</v>
      </c>
      <c r="X327" t="str">
        <f>"124.13.190.226"</f>
        <v>124.13.190.226</v>
      </c>
    </row>
    <row r="328" spans="1:24">
      <c r="A328" t="s">
        <v>351</v>
      </c>
      <c r="B328" t="str">
        <f>"27/01/2014 20:44:13"</f>
        <v>27/01/2014 20:44:13</v>
      </c>
      <c r="C328" t="str">
        <f>"11197"</f>
        <v>11197</v>
      </c>
      <c r="D328" t="str">
        <f>"juitakhayrul"</f>
        <v>juitakhayrul</v>
      </c>
      <c r="E328" t="str">
        <f>"JUITA HANUM BINTI NUMLI"</f>
        <v>JUITA HANUM BINTI NUMLI</v>
      </c>
      <c r="F328" t="str">
        <f>"001105015187"</f>
        <v>001105015187</v>
      </c>
      <c r="G328" t="str">
        <f>"5400419006040452"</f>
        <v>5400419006040452</v>
      </c>
      <c r="H328" t="str">
        <f t="shared" si="75"/>
        <v>MYR</v>
      </c>
      <c r="I328" t="str">
        <f t="shared" si="75"/>
        <v>MYR</v>
      </c>
      <c r="J328" t="str">
        <f>"2011-05-03"</f>
        <v>2011-05-03</v>
      </c>
      <c r="K328" t="str">
        <f>"400.00"</f>
        <v>400.00</v>
      </c>
      <c r="L328" t="str">
        <f>"400.00"</f>
        <v>400.00</v>
      </c>
      <c r="M328" t="str">
        <f>"NIL"</f>
        <v>NIL</v>
      </c>
      <c r="N328" t="str">
        <f>"JUITA HANUM NUMLI"</f>
        <v>JUITA HANUM NUMLI</v>
      </c>
      <c r="O328" t="str">
        <f>"HSBC BANK / HSBC AMANAH"</f>
        <v>HSBC BANK / HSBC AMANAH</v>
      </c>
      <c r="P328" t="str">
        <f>"HBMBMYKL"</f>
        <v>HBMBMYKL</v>
      </c>
      <c r="Q328" t="str">
        <f>"NIL"</f>
        <v>NIL</v>
      </c>
      <c r="R328" t="str">
        <f>"NIL"</f>
        <v>NIL</v>
      </c>
      <c r="S328" t="str">
        <f>"iPAY to JUITA HANUM NUMLI (HSBC BANK / HSBC AMANAH: 5400419006040452) (Ref No: 270114158900)"</f>
        <v>iPAY to JUITA HANUM NUMLI (HSBC BANK / HSBC AMANAH: 5400419006040452) (Ref No: 270114158900)</v>
      </c>
      <c r="T328" t="str">
        <f t="shared" si="65"/>
        <v>2014-01-27</v>
      </c>
      <c r="U328" t="s">
        <v>32</v>
      </c>
      <c r="V328" t="str">
        <f t="shared" si="76"/>
        <v>Successful</v>
      </c>
      <c r="W328" t="str">
        <f>"270114158900"</f>
        <v>270114158900</v>
      </c>
      <c r="X328" t="str">
        <f>"14.192.213.112"</f>
        <v>14.192.213.112</v>
      </c>
    </row>
    <row r="329" spans="1:24">
      <c r="A329" t="s">
        <v>352</v>
      </c>
      <c r="B329" t="str">
        <f>"27/01/2014 21:36:31"</f>
        <v>27/01/2014 21:36:31</v>
      </c>
      <c r="C329" t="str">
        <f>"55455"</f>
        <v>55455</v>
      </c>
      <c r="D329" t="str">
        <f>"norazeila"</f>
        <v>norazeila</v>
      </c>
      <c r="E329" t="str">
        <f>"NORAZEILA BINTI MOHAMED"</f>
        <v>NORAZEILA BINTI MOHAMED</v>
      </c>
      <c r="F329" t="str">
        <f>"001103022474"</f>
        <v>001103022474</v>
      </c>
      <c r="G329" t="str">
        <f>"152040298782"</f>
        <v>152040298782</v>
      </c>
      <c r="H329" t="str">
        <f t="shared" si="75"/>
        <v>MYR</v>
      </c>
      <c r="I329" t="str">
        <f t="shared" si="75"/>
        <v>MYR</v>
      </c>
      <c r="J329" t="str">
        <f>"2013-02-05"</f>
        <v>2013-02-05</v>
      </c>
      <c r="K329" t="str">
        <f>"264.46"</f>
        <v>264.46</v>
      </c>
      <c r="L329" t="str">
        <f>"264.46"</f>
        <v>264.46</v>
      </c>
      <c r="M329" t="str">
        <f>"NIL"</f>
        <v>NIL</v>
      </c>
      <c r="N329" t="str">
        <f>"DALILA BINTI MOHD NO"</f>
        <v>DALILA BINTI MOHD NO</v>
      </c>
      <c r="O329" t="str">
        <f>"MAYBANK"</f>
        <v>MAYBANK</v>
      </c>
      <c r="P329" t="str">
        <f>"MBBEMYKL"</f>
        <v>MBBEMYKL</v>
      </c>
      <c r="Q329" t="str">
        <f>"NIL"</f>
        <v>NIL</v>
      </c>
      <c r="R329" t="str">
        <f>"NIL"</f>
        <v>NIL</v>
      </c>
      <c r="S329" t="str">
        <f>"iPAY to DALILA BINTI MOHD NO (MAYBANK: 152040298782) (Ref No: 270114158902)"</f>
        <v>iPAY to DALILA BINTI MOHD NO (MAYBANK: 152040298782) (Ref No: 270114158902)</v>
      </c>
      <c r="T329" t="str">
        <f t="shared" si="65"/>
        <v>2014-01-27</v>
      </c>
      <c r="U329" t="s">
        <v>32</v>
      </c>
      <c r="V329" t="str">
        <f t="shared" si="76"/>
        <v>Successful</v>
      </c>
      <c r="W329" t="str">
        <f>"270114158902"</f>
        <v>270114158902</v>
      </c>
      <c r="X329" t="str">
        <f>"219.93.33.173"</f>
        <v>219.93.33.173</v>
      </c>
    </row>
    <row r="330" spans="1:24">
      <c r="A330" t="s">
        <v>353</v>
      </c>
      <c r="B330" t="str">
        <f>"27/01/2014 21:44:18"</f>
        <v>27/01/2014 21:44:18</v>
      </c>
      <c r="C330" t="str">
        <f>"38547"</f>
        <v>38547</v>
      </c>
      <c r="D330" t="str">
        <f>"m_zairy"</f>
        <v>m_zairy</v>
      </c>
      <c r="E330" t="str">
        <f>"MOHD ZAIRY BIN ZAINAL ABIDIN"</f>
        <v>MOHD ZAIRY BIN ZAINAL ABIDIN</v>
      </c>
      <c r="F330" t="str">
        <f>"002102021481"</f>
        <v>002102021481</v>
      </c>
      <c r="G330" t="str">
        <f>"164490111082"</f>
        <v>164490111082</v>
      </c>
      <c r="H330" t="str">
        <f t="shared" ref="H330:I340" si="77">"MYR"</f>
        <v>MYR</v>
      </c>
      <c r="I330" t="str">
        <f t="shared" si="77"/>
        <v>MYR</v>
      </c>
      <c r="J330" t="str">
        <f>"2012-04-02"</f>
        <v>2012-04-02</v>
      </c>
      <c r="K330" t="str">
        <f>"5000.00"</f>
        <v>5000.00</v>
      </c>
      <c r="L330" t="str">
        <f>"5000.00"</f>
        <v>5000.00</v>
      </c>
      <c r="M330" t="str">
        <f>"kfh"</f>
        <v>kfh</v>
      </c>
      <c r="N330" t="str">
        <f>"MODH ZAIRY BIN ZAINA"</f>
        <v>MODH ZAIRY BIN ZAINA</v>
      </c>
      <c r="O330" t="str">
        <f>"MAYBANK"</f>
        <v>MAYBANK</v>
      </c>
      <c r="P330" t="str">
        <f>"MBBEMYKL"</f>
        <v>MBBEMYKL</v>
      </c>
      <c r="Q330" t="str">
        <f>"kfh"</f>
        <v>kfh</v>
      </c>
      <c r="R330" t="str">
        <f>"mdzairy@gmail.com"</f>
        <v>mdzairy@gmail.com</v>
      </c>
      <c r="S330" t="str">
        <f>"iPAY to MODH ZAIRY BIN ZAINA (MAYBANK: 164490111082) (Ref No: 270114158904)"</f>
        <v>iPAY to MODH ZAIRY BIN ZAINA (MAYBANK: 164490111082) (Ref No: 270114158904)</v>
      </c>
      <c r="T330" t="str">
        <f t="shared" ref="T330:T340" si="78">"2014-01-27"</f>
        <v>2014-01-27</v>
      </c>
      <c r="U330" t="s">
        <v>32</v>
      </c>
      <c r="V330" t="str">
        <f t="shared" si="76"/>
        <v>Successful</v>
      </c>
      <c r="W330" t="str">
        <f>"270114158904"</f>
        <v>270114158904</v>
      </c>
      <c r="X330" t="str">
        <f>"183.171.164.56"</f>
        <v>183.171.164.56</v>
      </c>
    </row>
    <row r="331" spans="1:24">
      <c r="A331" t="s">
        <v>354</v>
      </c>
      <c r="B331" t="str">
        <f>"27/01/2014 22:08:02"</f>
        <v>27/01/2014 22:08:02</v>
      </c>
      <c r="C331" t="str">
        <f>"10535"</f>
        <v>10535</v>
      </c>
      <c r="D331" t="str">
        <f>"ammirah87"</f>
        <v>ammirah87</v>
      </c>
      <c r="E331" t="str">
        <f>"AMMIRAH BINTI SAMSOL"</f>
        <v>AMMIRAH BINTI SAMSOL</v>
      </c>
      <c r="F331" t="str">
        <f>"006103000984"</f>
        <v>006103000984</v>
      </c>
      <c r="G331" t="str">
        <f>"12050000911200"</f>
        <v>12050000911200</v>
      </c>
      <c r="H331" t="str">
        <f t="shared" si="77"/>
        <v>MYR</v>
      </c>
      <c r="I331" t="str">
        <f t="shared" si="77"/>
        <v>MYR</v>
      </c>
      <c r="J331" t="str">
        <f>"2011-04-11"</f>
        <v>2011-04-11</v>
      </c>
      <c r="K331" t="str">
        <f>"40.00"</f>
        <v>40.00</v>
      </c>
      <c r="L331" t="str">
        <f>"40.00"</f>
        <v>40.00</v>
      </c>
      <c r="M331" t="str">
        <f>"NIL"</f>
        <v>NIL</v>
      </c>
      <c r="N331" t="str">
        <f>"AMMIRAH"</f>
        <v>AMMIRAH</v>
      </c>
      <c r="O331" t="str">
        <f>"CIMB BANK"</f>
        <v>CIMB BANK</v>
      </c>
      <c r="P331" t="str">
        <f>"CIBBMYKL"</f>
        <v>CIBBMYKL</v>
      </c>
      <c r="Q331" t="str">
        <f>"NIL"</f>
        <v>NIL</v>
      </c>
      <c r="R331" t="str">
        <f>"damya87@yahoo.com"</f>
        <v>damya87@yahoo.com</v>
      </c>
      <c r="S331" t="str">
        <f>"iPAY to AMMIRAH (CIMB BANK: 12050000911200) (Ref No: 270114158906)"</f>
        <v>iPAY to AMMIRAH (CIMB BANK: 12050000911200) (Ref No: 270114158906)</v>
      </c>
      <c r="T331" t="str">
        <f t="shared" si="78"/>
        <v>2014-01-27</v>
      </c>
      <c r="U331" t="s">
        <v>32</v>
      </c>
      <c r="V331" t="str">
        <f t="shared" si="76"/>
        <v>Successful</v>
      </c>
      <c r="W331" t="str">
        <f>"270114158906"</f>
        <v>270114158906</v>
      </c>
      <c r="X331" t="str">
        <f>"219.93.33.173"</f>
        <v>219.93.33.173</v>
      </c>
    </row>
    <row r="332" spans="1:24">
      <c r="A332" t="s">
        <v>355</v>
      </c>
      <c r="B332" t="str">
        <f>"27/01/2014 22:12:45"</f>
        <v>27/01/2014 22:12:45</v>
      </c>
      <c r="C332" t="str">
        <f>"928"</f>
        <v>928</v>
      </c>
      <c r="D332" t="str">
        <f>"muzaffarshah"</f>
        <v>muzaffarshah</v>
      </c>
      <c r="E332" t="str">
        <f>"MUZAFFAR SHAH BIN MUSTAFFA"</f>
        <v>MUZAFFAR SHAH BIN MUSTAFFA</v>
      </c>
      <c r="F332" t="str">
        <f>"001102005085"</f>
        <v>001102005085</v>
      </c>
      <c r="G332" t="str">
        <f>"553083023763"</f>
        <v>553083023763</v>
      </c>
      <c r="H332" t="str">
        <f t="shared" si="77"/>
        <v>MYR</v>
      </c>
      <c r="I332" t="str">
        <f t="shared" si="77"/>
        <v>MYR</v>
      </c>
      <c r="J332" t="str">
        <f>"2007-07-02"</f>
        <v>2007-07-02</v>
      </c>
      <c r="K332" t="str">
        <f>"140.00"</f>
        <v>140.00</v>
      </c>
      <c r="L332" t="str">
        <f>"140.00"</f>
        <v>140.00</v>
      </c>
      <c r="M332" t="str">
        <f>"Feb 2014"</f>
        <v>Feb 2014</v>
      </c>
      <c r="N332" t="str">
        <f>"AKADEMI IMAM SYAFI'E"</f>
        <v>AKADEMI IMAM SYAFI'E</v>
      </c>
      <c r="O332" t="str">
        <f>"MAYBANK"</f>
        <v>MAYBANK</v>
      </c>
      <c r="P332" t="str">
        <f>"MBBEMYKL"</f>
        <v>MBBEMYKL</v>
      </c>
      <c r="Q332" t="str">
        <f>"NIL"</f>
        <v>NIL</v>
      </c>
      <c r="R332" t="str">
        <f>"akademimamsyafie@gmail.com"</f>
        <v>akademimamsyafie@gmail.com</v>
      </c>
      <c r="S332" t="str">
        <f>"iPAY to AKADEMI IMAM SYAFI'E (MAYBANK: 553083023763) (Ref No: 270114158908)"</f>
        <v>iPAY to AKADEMI IMAM SYAFI'E (MAYBANK: 553083023763) (Ref No: 270114158908)</v>
      </c>
      <c r="T332" t="str">
        <f t="shared" si="78"/>
        <v>2014-01-27</v>
      </c>
      <c r="U332" t="s">
        <v>32</v>
      </c>
      <c r="V332" t="str">
        <f t="shared" si="76"/>
        <v>Successful</v>
      </c>
      <c r="W332" t="str">
        <f>"270114158908"</f>
        <v>270114158908</v>
      </c>
      <c r="X332" t="str">
        <f>"175.142.177.50"</f>
        <v>175.142.177.50</v>
      </c>
    </row>
    <row r="333" spans="1:24">
      <c r="A333" t="s">
        <v>356</v>
      </c>
      <c r="B333" t="str">
        <f>"27/01/2014 22:19:50"</f>
        <v>27/01/2014 22:19:50</v>
      </c>
      <c r="C333" t="str">
        <f t="shared" ref="C333:C338" si="79">"1233"</f>
        <v>1233</v>
      </c>
      <c r="D333" t="str">
        <f t="shared" ref="D333:D338" si="80">"redzuan"</f>
        <v>redzuan</v>
      </c>
      <c r="E333" t="str">
        <f t="shared" ref="E333:E338" si="81">"REDZUAN BIN ZAKARIA"</f>
        <v>REDZUAN BIN ZAKARIA</v>
      </c>
      <c r="F333" t="str">
        <f t="shared" ref="F333:F338" si="82">"001103000837"</f>
        <v>001103000837</v>
      </c>
      <c r="G333" t="str">
        <f>"834297013290010"</f>
        <v>834297013290010</v>
      </c>
      <c r="H333" t="str">
        <f t="shared" si="77"/>
        <v>MYR</v>
      </c>
      <c r="I333" t="str">
        <f t="shared" si="77"/>
        <v>MYR</v>
      </c>
      <c r="J333" t="str">
        <f t="shared" ref="J333:J338" si="83">"2007-12-03"</f>
        <v>2007-12-03</v>
      </c>
      <c r="K333" t="str">
        <f>"1300.00"</f>
        <v>1300.00</v>
      </c>
      <c r="L333" t="str">
        <f>"1300.00"</f>
        <v>1300.00</v>
      </c>
      <c r="M333" t="str">
        <f>"NCE9823 - Feb'14"</f>
        <v>NCE9823 - Feb'14</v>
      </c>
      <c r="N333" t="str">
        <f>"SHAIDATUL NADIA BINTI AB"</f>
        <v>SHAIDATUL NADIA BINTI AB</v>
      </c>
      <c r="O333" t="str">
        <f>"PUBLIC BANK"</f>
        <v>PUBLIC BANK</v>
      </c>
      <c r="P333" t="str">
        <f>"PBBEMYKL"</f>
        <v>PBBEMYKL</v>
      </c>
      <c r="Q333" t="str">
        <f>"NCE9823 - 33"</f>
        <v>NCE9823 - 33</v>
      </c>
      <c r="R333" t="str">
        <f>"snadiaa@bankislam.com.my"</f>
        <v>snadiaa@bankislam.com.my</v>
      </c>
      <c r="S333" t="str">
        <f>"iPAY to SHAIDATUL NADIA BINTI AB (PUBLIC BANK: 834297013290010) (Ref No: 270114158910)"</f>
        <v>iPAY to SHAIDATUL NADIA BINTI AB (PUBLIC BANK: 834297013290010) (Ref No: 270114158910)</v>
      </c>
      <c r="T333" t="str">
        <f t="shared" si="78"/>
        <v>2014-01-27</v>
      </c>
      <c r="U333" t="s">
        <v>32</v>
      </c>
      <c r="V333" t="str">
        <f t="shared" si="76"/>
        <v>Successful</v>
      </c>
      <c r="W333" t="str">
        <f>"270114158910"</f>
        <v>270114158910</v>
      </c>
      <c r="X333" t="str">
        <f t="shared" ref="X333:X338" si="84">"180.74.201.175"</f>
        <v>180.74.201.175</v>
      </c>
    </row>
    <row r="334" spans="1:24">
      <c r="A334" t="s">
        <v>357</v>
      </c>
      <c r="B334" t="str">
        <f>"27/01/2014 22:21:38"</f>
        <v>27/01/2014 22:21:38</v>
      </c>
      <c r="C334" t="str">
        <f t="shared" si="79"/>
        <v>1233</v>
      </c>
      <c r="D334" t="str">
        <f t="shared" si="80"/>
        <v>redzuan</v>
      </c>
      <c r="E334" t="str">
        <f t="shared" si="81"/>
        <v>REDZUAN BIN ZAKARIA</v>
      </c>
      <c r="F334" t="str">
        <f t="shared" si="82"/>
        <v>001103000837</v>
      </c>
      <c r="G334" t="str">
        <f>"837104213090010"</f>
        <v>837104213090010</v>
      </c>
      <c r="H334" t="str">
        <f t="shared" si="77"/>
        <v>MYR</v>
      </c>
      <c r="I334" t="str">
        <f t="shared" si="77"/>
        <v>MYR</v>
      </c>
      <c r="J334" t="str">
        <f t="shared" si="83"/>
        <v>2007-12-03</v>
      </c>
      <c r="K334" t="str">
        <f>"1000.00"</f>
        <v>1000.00</v>
      </c>
      <c r="L334" t="str">
        <f>"1000.00"</f>
        <v>1000.00</v>
      </c>
      <c r="M334" t="str">
        <f>"WSU5590 - Feb'14"</f>
        <v>WSU5590 - Feb'14</v>
      </c>
      <c r="N334" t="str">
        <f>"REDZUAN BIN ZAKARIA"</f>
        <v>REDZUAN BIN ZAKARIA</v>
      </c>
      <c r="O334" t="str">
        <f>"PUBLIC BANK"</f>
        <v>PUBLIC BANK</v>
      </c>
      <c r="P334" t="str">
        <f>"PBBEMYKL"</f>
        <v>PBBEMYKL</v>
      </c>
      <c r="Q334" t="str">
        <f>"WSU5590 - 23"</f>
        <v>WSU5590 - 23</v>
      </c>
      <c r="R334" t="str">
        <f>"redzuan.zakaria@kfh.com.my"</f>
        <v>redzuan.zakaria@kfh.com.my</v>
      </c>
      <c r="S334" t="str">
        <f>"iPAY to REDZUAN BIN ZAKARIA (PUBLIC BANK: 837104213090010) (Ref No: 270114158912)"</f>
        <v>iPAY to REDZUAN BIN ZAKARIA (PUBLIC BANK: 837104213090010) (Ref No: 270114158912)</v>
      </c>
      <c r="T334" t="str">
        <f t="shared" si="78"/>
        <v>2014-01-27</v>
      </c>
      <c r="U334" t="s">
        <v>32</v>
      </c>
      <c r="V334" t="str">
        <f t="shared" si="76"/>
        <v>Successful</v>
      </c>
      <c r="W334" t="str">
        <f>"270114158912"</f>
        <v>270114158912</v>
      </c>
      <c r="X334" t="str">
        <f t="shared" si="84"/>
        <v>180.74.201.175</v>
      </c>
    </row>
    <row r="335" spans="1:24">
      <c r="A335" t="s">
        <v>358</v>
      </c>
      <c r="B335" t="str">
        <f>"27/01/2014 22:25:06"</f>
        <v>27/01/2014 22:25:06</v>
      </c>
      <c r="C335" t="str">
        <f t="shared" si="79"/>
        <v>1233</v>
      </c>
      <c r="D335" t="str">
        <f t="shared" si="80"/>
        <v>redzuan</v>
      </c>
      <c r="E335" t="str">
        <f t="shared" si="81"/>
        <v>REDZUAN BIN ZAKARIA</v>
      </c>
      <c r="F335" t="str">
        <f t="shared" si="82"/>
        <v>001103000837</v>
      </c>
      <c r="G335" t="str">
        <f>"151016992724"</f>
        <v>151016992724</v>
      </c>
      <c r="H335" t="str">
        <f t="shared" si="77"/>
        <v>MYR</v>
      </c>
      <c r="I335" t="str">
        <f t="shared" si="77"/>
        <v>MYR</v>
      </c>
      <c r="J335" t="str">
        <f t="shared" si="83"/>
        <v>2007-12-03</v>
      </c>
      <c r="K335" t="str">
        <f>"800.00"</f>
        <v>800.00</v>
      </c>
      <c r="L335" t="str">
        <f>"800.00"</f>
        <v>800.00</v>
      </c>
      <c r="M335" t="str">
        <f>"Undi Feb'14"</f>
        <v>Undi Feb'14</v>
      </c>
      <c r="N335" t="str">
        <f>"ROZIANA BINTI ZAKARI"</f>
        <v>ROZIANA BINTI ZAKARI</v>
      </c>
      <c r="O335" t="str">
        <f>"MAYBANK"</f>
        <v>MAYBANK</v>
      </c>
      <c r="P335" t="str">
        <f>"MBBEMYKL"</f>
        <v>MBBEMYKL</v>
      </c>
      <c r="Q335" t="str">
        <f>"Feb14 WanNadia"</f>
        <v>Feb14 WanNadia</v>
      </c>
      <c r="R335" t="str">
        <f>"rozianaz@hotmail.com"</f>
        <v>rozianaz@hotmail.com</v>
      </c>
      <c r="S335" t="str">
        <f>"iPAY to ROZIANA BINTI ZAKARI (MAYBANK: 151016992724) (Ref No: 270114158914)"</f>
        <v>iPAY to ROZIANA BINTI ZAKARI (MAYBANK: 151016992724) (Ref No: 270114158914)</v>
      </c>
      <c r="T335" t="str">
        <f t="shared" si="78"/>
        <v>2014-01-27</v>
      </c>
      <c r="U335" t="s">
        <v>32</v>
      </c>
      <c r="V335" t="str">
        <f t="shared" si="76"/>
        <v>Successful</v>
      </c>
      <c r="W335" t="str">
        <f>"270114158914"</f>
        <v>270114158914</v>
      </c>
      <c r="X335" t="str">
        <f t="shared" si="84"/>
        <v>180.74.201.175</v>
      </c>
    </row>
    <row r="336" spans="1:24">
      <c r="A336" t="s">
        <v>359</v>
      </c>
      <c r="B336" t="str">
        <f>"27/01/2014 22:26:50"</f>
        <v>27/01/2014 22:26:50</v>
      </c>
      <c r="C336" t="str">
        <f t="shared" si="79"/>
        <v>1233</v>
      </c>
      <c r="D336" t="str">
        <f t="shared" si="80"/>
        <v>redzuan</v>
      </c>
      <c r="E336" t="str">
        <f t="shared" si="81"/>
        <v>REDZUAN BIN ZAKARIA</v>
      </c>
      <c r="F336" t="str">
        <f t="shared" si="82"/>
        <v>001103000837</v>
      </c>
      <c r="G336" t="str">
        <f>"620390344559"</f>
        <v>620390344559</v>
      </c>
      <c r="H336" t="str">
        <f t="shared" si="77"/>
        <v>MYR</v>
      </c>
      <c r="I336" t="str">
        <f t="shared" si="77"/>
        <v>MYR</v>
      </c>
      <c r="J336" t="str">
        <f t="shared" si="83"/>
        <v>2007-12-03</v>
      </c>
      <c r="K336" t="str">
        <f>"300.00"</f>
        <v>300.00</v>
      </c>
      <c r="L336" t="str">
        <f>"300.00"</f>
        <v>300.00</v>
      </c>
      <c r="M336" t="str">
        <f>"PF Pymt Feb14"</f>
        <v>PF Pymt Feb14</v>
      </c>
      <c r="N336" t="str">
        <f>"REDZUAN BIN ZAKARIA"</f>
        <v>REDZUAN BIN ZAKARIA</v>
      </c>
      <c r="O336" t="str">
        <f>"BANK RAKYAT"</f>
        <v>BANK RAKYAT</v>
      </c>
      <c r="P336" t="str">
        <f>"BKRMMYK1"</f>
        <v>BKRMMYK1</v>
      </c>
      <c r="Q336" t="str">
        <f>"PF Pymt - 4"</f>
        <v>PF Pymt - 4</v>
      </c>
      <c r="R336" t="str">
        <f>"redzuanz82@gmail.com"</f>
        <v>redzuanz82@gmail.com</v>
      </c>
      <c r="S336" t="str">
        <f>"iPAY to REDZUAN BIN ZAKARIA (BANK RAKYAT: 620390344559) (Ref No: 270114158916)"</f>
        <v>iPAY to REDZUAN BIN ZAKARIA (BANK RAKYAT: 620390344559) (Ref No: 270114158916)</v>
      </c>
      <c r="T336" t="str">
        <f t="shared" si="78"/>
        <v>2014-01-27</v>
      </c>
      <c r="U336" t="s">
        <v>32</v>
      </c>
      <c r="V336" t="str">
        <f t="shared" si="76"/>
        <v>Successful</v>
      </c>
      <c r="W336" t="str">
        <f>"270114158916"</f>
        <v>270114158916</v>
      </c>
      <c r="X336" t="str">
        <f t="shared" si="84"/>
        <v>180.74.201.175</v>
      </c>
    </row>
    <row r="337" spans="1:24">
      <c r="A337" t="s">
        <v>360</v>
      </c>
      <c r="B337" t="str">
        <f>"27/01/2014 22:31:02"</f>
        <v>27/01/2014 22:31:02</v>
      </c>
      <c r="C337" t="str">
        <f t="shared" si="79"/>
        <v>1233</v>
      </c>
      <c r="D337" t="str">
        <f t="shared" si="80"/>
        <v>redzuan</v>
      </c>
      <c r="E337" t="str">
        <f t="shared" si="81"/>
        <v>REDZUAN BIN ZAKARIA</v>
      </c>
      <c r="F337" t="str">
        <f t="shared" si="82"/>
        <v>001103000837</v>
      </c>
      <c r="G337" t="str">
        <f>"162852035489"</f>
        <v>162852035489</v>
      </c>
      <c r="H337" t="str">
        <f t="shared" si="77"/>
        <v>MYR</v>
      </c>
      <c r="I337" t="str">
        <f t="shared" si="77"/>
        <v>MYR</v>
      </c>
      <c r="J337" t="str">
        <f t="shared" si="83"/>
        <v>2007-12-03</v>
      </c>
      <c r="K337" t="str">
        <f>"200.00"</f>
        <v>200.00</v>
      </c>
      <c r="L337" t="str">
        <f>"200.00"</f>
        <v>200.00</v>
      </c>
      <c r="M337" t="str">
        <f>"Payment Order Fund"</f>
        <v>Payment Order Fund</v>
      </c>
      <c r="N337" t="str">
        <f>"NUR SUMAYYAH"</f>
        <v>NUR SUMAYYAH</v>
      </c>
      <c r="O337" t="str">
        <f>"MAYBANK"</f>
        <v>MAYBANK</v>
      </c>
      <c r="P337" t="str">
        <f>"MBBEMYKL"</f>
        <v>MBBEMYKL</v>
      </c>
      <c r="Q337" t="str">
        <f>"Kak Yann "</f>
        <v xml:space="preserve">Kak Yann </v>
      </c>
      <c r="R337" t="str">
        <f>"chi_caque@yahoo.com"</f>
        <v>chi_caque@yahoo.com</v>
      </c>
      <c r="S337" t="str">
        <f>"iPAY to NUR SUMAYYAH (MAYBANK: 162852035489) (Ref No: 270114158918)"</f>
        <v>iPAY to NUR SUMAYYAH (MAYBANK: 162852035489) (Ref No: 270114158918)</v>
      </c>
      <c r="T337" t="str">
        <f t="shared" si="78"/>
        <v>2014-01-27</v>
      </c>
      <c r="U337" t="s">
        <v>32</v>
      </c>
      <c r="V337" t="str">
        <f t="shared" si="76"/>
        <v>Successful</v>
      </c>
      <c r="W337" t="str">
        <f>"270114158918"</f>
        <v>270114158918</v>
      </c>
      <c r="X337" t="str">
        <f t="shared" si="84"/>
        <v>180.74.201.175</v>
      </c>
    </row>
    <row r="338" spans="1:24">
      <c r="A338" t="s">
        <v>361</v>
      </c>
      <c r="B338" t="str">
        <f>"27/01/2014 22:48:06"</f>
        <v>27/01/2014 22:48:06</v>
      </c>
      <c r="C338" t="str">
        <f t="shared" si="79"/>
        <v>1233</v>
      </c>
      <c r="D338" t="str">
        <f t="shared" si="80"/>
        <v>redzuan</v>
      </c>
      <c r="E338" t="str">
        <f t="shared" si="81"/>
        <v>REDZUAN BIN ZAKARIA</v>
      </c>
      <c r="F338" t="str">
        <f t="shared" si="82"/>
        <v>001103000837</v>
      </c>
      <c r="G338" t="str">
        <f>"5402563004706115"</f>
        <v>5402563004706115</v>
      </c>
      <c r="H338" t="str">
        <f t="shared" si="77"/>
        <v>MYR</v>
      </c>
      <c r="I338" t="str">
        <f t="shared" si="77"/>
        <v>MYR</v>
      </c>
      <c r="J338" t="str">
        <f t="shared" si="83"/>
        <v>2007-12-03</v>
      </c>
      <c r="K338" t="str">
        <f>"538.34"</f>
        <v>538.34</v>
      </c>
      <c r="L338" t="str">
        <f>"538.34"</f>
        <v>538.34</v>
      </c>
      <c r="M338" t="str">
        <f>"CitiGold MCard Pymt"</f>
        <v>CitiGold MCard Pymt</v>
      </c>
      <c r="N338" t="str">
        <f>"REDZUAN BIN ZAKARIA"</f>
        <v>REDZUAN BIN ZAKARIA</v>
      </c>
      <c r="O338" t="str">
        <f>"CITIBANK"</f>
        <v>CITIBANK</v>
      </c>
      <c r="P338" t="str">
        <f>"CITIMYKL"</f>
        <v>CITIMYKL</v>
      </c>
      <c r="Q338" t="str">
        <f>"Gold Card Feb'14"</f>
        <v>Gold Card Feb'14</v>
      </c>
      <c r="R338" t="str">
        <f>"redzuan.zakaria@kfh.com.my"</f>
        <v>redzuan.zakaria@kfh.com.my</v>
      </c>
      <c r="S338" t="str">
        <f>"iPAY to REDZUAN BIN ZAKARIA (CITIBANK: 5402563004706115) (Ref No: 270114158920)"</f>
        <v>iPAY to REDZUAN BIN ZAKARIA (CITIBANK: 5402563004706115) (Ref No: 270114158920)</v>
      </c>
      <c r="T338" t="str">
        <f t="shared" si="78"/>
        <v>2014-01-27</v>
      </c>
      <c r="U338" t="s">
        <v>32</v>
      </c>
      <c r="V338" t="str">
        <f t="shared" si="76"/>
        <v>Successful</v>
      </c>
      <c r="W338" t="str">
        <f>"270114158920"</f>
        <v>270114158920</v>
      </c>
      <c r="X338" t="str">
        <f t="shared" si="84"/>
        <v>180.74.201.175</v>
      </c>
    </row>
    <row r="339" spans="1:24">
      <c r="A339" t="s">
        <v>362</v>
      </c>
      <c r="B339" t="str">
        <f>"27/01/2014 23:20:10"</f>
        <v>27/01/2014 23:20:10</v>
      </c>
      <c r="C339" t="str">
        <f>"2161"</f>
        <v>2161</v>
      </c>
      <c r="D339" t="str">
        <f>"choongyenmoy"</f>
        <v>choongyenmoy</v>
      </c>
      <c r="E339" t="str">
        <f>"CHOONG YEN MOY"</f>
        <v>CHOONG YEN MOY</v>
      </c>
      <c r="F339" t="str">
        <f>"005102000013"</f>
        <v>005102000013</v>
      </c>
      <c r="G339" t="str">
        <f>"4647070903"</f>
        <v>4647070903</v>
      </c>
      <c r="H339" t="str">
        <f t="shared" si="77"/>
        <v>MYR</v>
      </c>
      <c r="I339" t="str">
        <f t="shared" si="77"/>
        <v>MYR</v>
      </c>
      <c r="J339" t="str">
        <f>"2008-08-08"</f>
        <v>2008-08-08</v>
      </c>
      <c r="K339" t="str">
        <f>"3000.00"</f>
        <v>3000.00</v>
      </c>
      <c r="L339" t="str">
        <f>"3000.00"</f>
        <v>3000.00</v>
      </c>
      <c r="M339" t="str">
        <f>"NIL"</f>
        <v>NIL</v>
      </c>
      <c r="N339" t="str">
        <f>"CHOONG YEN MOY"</f>
        <v>CHOONG YEN MOY</v>
      </c>
      <c r="O339" t="str">
        <f>"PUBLIC BANK"</f>
        <v>PUBLIC BANK</v>
      </c>
      <c r="P339" t="str">
        <f>"PBBEMYKL"</f>
        <v>PBBEMYKL</v>
      </c>
      <c r="Q339" t="str">
        <f>"NIL"</f>
        <v>NIL</v>
      </c>
      <c r="R339" t="str">
        <f>"NIL"</f>
        <v>NIL</v>
      </c>
      <c r="S339" t="str">
        <f>"iPAY to CHOONG YEN MOY (PUBLIC BANK: 4647070903) (Ref No: 270114158922)"</f>
        <v>iPAY to CHOONG YEN MOY (PUBLIC BANK: 4647070903) (Ref No: 270114158922)</v>
      </c>
      <c r="T339" t="str">
        <f t="shared" si="78"/>
        <v>2014-01-27</v>
      </c>
      <c r="U339" t="s">
        <v>32</v>
      </c>
      <c r="V339" t="str">
        <f t="shared" si="76"/>
        <v>Successful</v>
      </c>
      <c r="W339" t="str">
        <f>"270114158922"</f>
        <v>270114158922</v>
      </c>
      <c r="X339" t="str">
        <f>"115.164.177.86"</f>
        <v>115.164.177.86</v>
      </c>
    </row>
    <row r="340" spans="1:24">
      <c r="A340" t="s">
        <v>363</v>
      </c>
      <c r="B340" t="str">
        <f>"27/01/2014 23:24:07"</f>
        <v>27/01/2014 23:24:07</v>
      </c>
      <c r="C340" t="str">
        <f>"2161"</f>
        <v>2161</v>
      </c>
      <c r="D340" t="str">
        <f>"choongyenmoy"</f>
        <v>choongyenmoy</v>
      </c>
      <c r="E340" t="str">
        <f>"CHOONG YEN MOY"</f>
        <v>CHOONG YEN MOY</v>
      </c>
      <c r="F340" t="str">
        <f>"005102000013"</f>
        <v>005102000013</v>
      </c>
      <c r="G340" t="str">
        <f>"407152472450"</f>
        <v>407152472450</v>
      </c>
      <c r="H340" t="str">
        <f t="shared" si="77"/>
        <v>MYR</v>
      </c>
      <c r="I340" t="str">
        <f t="shared" si="77"/>
        <v>MYR</v>
      </c>
      <c r="J340" t="str">
        <f>"2008-08-08"</f>
        <v>2008-08-08</v>
      </c>
      <c r="K340" t="str">
        <f>"600.00"</f>
        <v>600.00</v>
      </c>
      <c r="L340" t="str">
        <f>"600.00"</f>
        <v>600.00</v>
      </c>
      <c r="M340" t="str">
        <f>"NIL"</f>
        <v>NIL</v>
      </c>
      <c r="N340" t="str">
        <f>"MS CHOONG YEN MOY"</f>
        <v>MS CHOONG YEN MOY</v>
      </c>
      <c r="O340" t="str">
        <f>"STANDARD CHARTERED BANK BHD"</f>
        <v>STANDARD CHARTERED BANK BHD</v>
      </c>
      <c r="P340" t="str">
        <f>"SCBLMYKX"</f>
        <v>SCBLMYKX</v>
      </c>
      <c r="Q340" t="str">
        <f>"NIL"</f>
        <v>NIL</v>
      </c>
      <c r="R340" t="str">
        <f>"NIL"</f>
        <v>NIL</v>
      </c>
      <c r="S340" t="str">
        <f>"iPAY to MS CHOONG YEN MOY (STANDARD CHARTERED BANK BHD: 407152472450) (Ref No: 270114158925)"</f>
        <v>iPAY to MS CHOONG YEN MOY (STANDARD CHARTERED BANK BHD: 407152472450) (Ref No: 270114158925)</v>
      </c>
      <c r="T340" t="str">
        <f t="shared" si="78"/>
        <v>2014-01-27</v>
      </c>
      <c r="U340" t="s">
        <v>32</v>
      </c>
      <c r="V340" t="str">
        <f t="shared" si="76"/>
        <v>Successful</v>
      </c>
      <c r="W340" t="str">
        <f>"270114158925"</f>
        <v>270114158925</v>
      </c>
      <c r="X340" t="str">
        <f>"115.164.177.86"</f>
        <v>115.164.177.86</v>
      </c>
    </row>
    <row r="343" spans="1:24">
      <c r="A343" t="s">
        <v>364</v>
      </c>
      <c r="B343">
        <v>331</v>
      </c>
    </row>
    <row r="345" spans="1:24">
      <c r="A345" t="s">
        <v>365</v>
      </c>
      <c r="B345">
        <v>230</v>
      </c>
    </row>
    <row r="346" spans="1:24">
      <c r="A346" t="s">
        <v>366</v>
      </c>
      <c r="B346">
        <v>101</v>
      </c>
    </row>
    <row r="347" spans="1:24">
      <c r="A347" t="s">
        <v>367</v>
      </c>
    </row>
    <row r="348" spans="1:24">
      <c r="A348" t="s">
        <v>368</v>
      </c>
      <c r="C348" t="s">
        <v>369</v>
      </c>
      <c r="D348" t="str">
        <f>"218215.51"</f>
        <v>218215.51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D10"/>
  <sheetViews>
    <sheetView workbookViewId="0">
      <selection activeCell="L15" sqref="L15"/>
    </sheetView>
  </sheetViews>
  <sheetFormatPr defaultRowHeight="15"/>
  <cols>
    <col min="2" max="2" width="28" style="1" customWidth="1"/>
    <col min="3" max="4" width="11.28515625" style="2" customWidth="1"/>
  </cols>
  <sheetData>
    <row r="3" spans="2:4">
      <c r="B3" s="15" t="s">
        <v>27</v>
      </c>
      <c r="C3" s="14" t="s">
        <v>375</v>
      </c>
      <c r="D3" s="14" t="s">
        <v>374</v>
      </c>
    </row>
    <row r="4" spans="2:4">
      <c r="B4" s="3" t="s">
        <v>32</v>
      </c>
      <c r="C4" s="4"/>
      <c r="D4" s="4">
        <v>230</v>
      </c>
    </row>
    <row r="5" spans="2:4">
      <c r="B5" s="9" t="s">
        <v>34</v>
      </c>
      <c r="C5" s="10"/>
      <c r="D5" s="10"/>
    </row>
    <row r="6" spans="2:4">
      <c r="B6" s="16" t="s">
        <v>370</v>
      </c>
      <c r="C6" s="17">
        <v>98</v>
      </c>
      <c r="D6" s="6"/>
    </row>
    <row r="7" spans="2:4">
      <c r="B7" s="5" t="s">
        <v>371</v>
      </c>
      <c r="C7" s="6">
        <v>1</v>
      </c>
      <c r="D7" s="6"/>
    </row>
    <row r="8" spans="2:4">
      <c r="B8" s="5" t="s">
        <v>372</v>
      </c>
      <c r="C8" s="6">
        <v>1</v>
      </c>
      <c r="D8" s="6"/>
    </row>
    <row r="9" spans="2:4">
      <c r="B9" s="7" t="s">
        <v>373</v>
      </c>
      <c r="C9" s="8">
        <v>1</v>
      </c>
      <c r="D9" s="11">
        <f>SUM(C6:C9)</f>
        <v>101</v>
      </c>
    </row>
    <row r="10" spans="2:4">
      <c r="B10" s="12"/>
      <c r="C10" s="13"/>
      <c r="D10" s="14">
        <f>SUM(D4:D9)</f>
        <v>331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IBFTTransferReport_DAILY_201401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Chooi So Fun</cp:lastModifiedBy>
  <dcterms:created xsi:type="dcterms:W3CDTF">2014-01-28T01:09:12Z</dcterms:created>
  <dcterms:modified xsi:type="dcterms:W3CDTF">2014-01-28T01:37:28Z</dcterms:modified>
</cp:coreProperties>
</file>